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omments1.xml" ContentType="application/vnd.openxmlformats-officedocument.spreadsheetml.comments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a2central.a2gov.org/departments/sustainability/Documents/Administrative/Data and Metrics/Community Greenhouse Gas Inventory/GHG Estimates/"/>
    </mc:Choice>
  </mc:AlternateContent>
  <xr:revisionPtr revIDLastSave="0" documentId="8_{BE898A89-0800-4FEC-A573-0787B599565D}" xr6:coauthVersionLast="41" xr6:coauthVersionMax="41" xr10:uidLastSave="{00000000-0000-0000-0000-000000000000}"/>
  <bookViews>
    <workbookView xWindow="-108" yWindow="-108" windowWidth="23256" windowHeight="12576" firstSheet="8" activeTab="8" xr2:uid="{00000000-000D-0000-FFFF-FFFF00000000}"/>
  </bookViews>
  <sheets>
    <sheet name="Intro and Guide" sheetId="24" r:id="rId1"/>
    <sheet name="Emissions Summary" sheetId="22" r:id="rId2"/>
    <sheet name="Detailed Emissions Summary" sheetId="29" r:id="rId3"/>
    <sheet name="Tracking Metrics" sheetId="19" r:id="rId4"/>
    <sheet name="Data Sources" sheetId="25" r:id="rId5"/>
    <sheet name="A Community Indicators Data" sheetId="12" r:id="rId6"/>
    <sheet name="B Climate Data" sheetId="21" r:id="rId7"/>
    <sheet name="C Stationary Fuel Factor Set" sheetId="2" r:id="rId8"/>
    <sheet name="D Grid Energy Factor Set" sheetId="1" r:id="rId9"/>
    <sheet name="E Transportation Factor Set" sheetId="3" r:id="rId10"/>
    <sheet name="F Solid Waste Factor Set" sheetId="6" r:id="rId11"/>
    <sheet name="G Wastewater Factor Set" sheetId="15" r:id="rId12"/>
    <sheet name="H Built Environment Data" sheetId="7" r:id="rId13"/>
    <sheet name="I Transportation Data" sheetId="9" r:id="rId14"/>
    <sheet name="J Commuting Data" sheetId="10" r:id="rId15"/>
    <sheet name="K Solid Waste Data" sheetId="13" r:id="rId16"/>
    <sheet name="L Water and Wastewater Data" sheetId="18" r:id="rId17"/>
    <sheet name="Built Environment Emissions" sheetId="8" r:id="rId18"/>
    <sheet name="Transportation Emissions" sheetId="11" r:id="rId19"/>
    <sheet name="Solid Waste Emissions" sheetId="14" r:id="rId20"/>
    <sheet name="Wastewater Emissions" sheetId="16" r:id="rId21"/>
    <sheet name="Conversion Factors" sheetId="4" r:id="rId22"/>
  </sheets>
  <externalReferences>
    <externalReference r:id="rId23"/>
  </externalReferences>
  <definedNames>
    <definedName name="A2_TotalNLoad">'G Wastewater Factor Set'!$B$23</definedName>
    <definedName name="AvGas_EF">'E Transportation Factor Set'!$D$101</definedName>
    <definedName name="bbl_to_CCF">'Conversion Factors'!$E$33</definedName>
    <definedName name="Biodiesel_EF">'E Transportation Factor Set'!$D$102</definedName>
    <definedName name="BOD5_Rate">'G Wastewater Factor Set'!$B$12</definedName>
    <definedName name="Bus_CH4_EF">'E Transportation Factor Set'!$B$188</definedName>
    <definedName name="Bus_N2O_EF">'E Transportation Factor Set'!$C$188</definedName>
    <definedName name="CCF_to_Ft3">'Conversion Factors'!$C$32</definedName>
    <definedName name="CCF_to_gal">'Conversion Factors'!$D$32</definedName>
    <definedName name="CCF_to_m3">'Conversion Factors'!$B$32</definedName>
    <definedName name="CE_Factpr">'F Solid Waste Factor Set'!$B$24</definedName>
    <definedName name="CH4_GWP" localSheetId="4">'[1]Conversion Factors'!$C$6</definedName>
    <definedName name="CH4_GWP" localSheetId="0">'[1]Conversion Factors'!$C$6</definedName>
    <definedName name="CH4_GWP">'Conversion Factors'!$C$7</definedName>
    <definedName name="Compost_CH4EF">'F Solid Waste Factor Set'!$B$33</definedName>
    <definedName name="Compost_N2OEF">'F Solid Waste Factor Set'!$B$34</definedName>
    <definedName name="Days_per_Year">'G Wastewater Factor Set'!$B$16</definedName>
    <definedName name="Diesel_EF">'E Transportation Factor Set'!$D$104</definedName>
    <definedName name="Ethanol_EF">'E Transportation Factor Set'!$D$105</definedName>
    <definedName name="Findcom">'G Wastewater Factor Set'!$B$5</definedName>
    <definedName name="FPlant_NitDenit">'G Wastewater Factor Set'!$B$15</definedName>
    <definedName name="ft3_to_CCF">'Conversion Factors'!$E$31</definedName>
    <definedName name="ft3_to_gal">'Conversion Factors'!$D$31</definedName>
    <definedName name="ft3_to_m3">'Conversion Factors'!$B$31</definedName>
    <definedName name="FuelOil_EF">'C Stationary Fuel Factor Set'!$E$8</definedName>
    <definedName name="Fug_Methane_EF">'C Stationary Fuel Factor Set'!$B$19</definedName>
    <definedName name="Fug_Methane_Local" localSheetId="4">'[1]C Stationary Fuel Factor Set'!$B$13</definedName>
    <definedName name="Fug_Methane_Local" localSheetId="0">'[1]C Stationary Fuel Factor Set'!$B$13</definedName>
    <definedName name="Fug_Methane_Local">'C Stationary Fuel Factor Set'!$B$14</definedName>
    <definedName name="Fug_Methane_Total" localSheetId="4">'[1]C Stationary Fuel Factor Set'!$B$12</definedName>
    <definedName name="Fug_Methane_Total" localSheetId="0">'[1]C Stationary Fuel Factor Set'!$B$12</definedName>
    <definedName name="Fug_Methane_Total">'C Stationary Fuel Factor Set'!$B$13</definedName>
    <definedName name="g_to_kg" localSheetId="4">'[1]Conversion Factors'!$B$25</definedName>
    <definedName name="g_to_kg" localSheetId="0">'[1]Conversion Factors'!$B$25</definedName>
    <definedName name="g_to_kg">'Conversion Factors'!$B$25</definedName>
    <definedName name="g_to_MT">'Conversion Factors'!$C$25</definedName>
    <definedName name="Gasoline_EF">'E Transportation Factor Set'!$D$109</definedName>
    <definedName name="Grid_EF">'D Grid Energy Factor Set'!$C$42</definedName>
    <definedName name="Grid_LossFactor">'Built Environment Emissions'!$B$35</definedName>
    <definedName name="JetFuel_EF">'E Transportation Factor Set'!$D$106</definedName>
    <definedName name="k_to_M">'Conversion Factors'!$D$14</definedName>
    <definedName name="kg_to_MT" localSheetId="4">'[1]Conversion Factors'!$C$23</definedName>
    <definedName name="kg_to_MT" localSheetId="0">'[1]Conversion Factors'!$C$23</definedName>
    <definedName name="kg_to_MT">'Conversion Factors'!$C$23</definedName>
    <definedName name="kWh_to_mmBtu">'Conversion Factors'!$D$41</definedName>
    <definedName name="L_to_CCF">'Conversion Factors'!$E$34</definedName>
    <definedName name="L_to_gal">'Conversion Factors'!$D$34</definedName>
    <definedName name="LandfillEFP_CNG">'F Solid Waste Factor Set'!$B$29</definedName>
    <definedName name="LandfillEFP_Diesel">'F Solid Waste Factor Set'!$B$28</definedName>
    <definedName name="lb_to_kg">'Conversion Factors'!$B$21</definedName>
    <definedName name="lb_to_MT">'Conversion Factors'!$C$21</definedName>
    <definedName name="M_to_k">'Conversion Factors'!$C$15</definedName>
    <definedName name="m3_to_CCF">'Conversion Factors'!$E$30</definedName>
    <definedName name="m3_to_ft3">'Conversion Factors'!$C$30</definedName>
    <definedName name="m3_to_gal">'Conversion Factors'!$D$30</definedName>
    <definedName name="MT_to_kg">'Conversion Factors'!$B$22</definedName>
    <definedName name="N_Uptake">'G Wastewater Factor Set'!$B$11</definedName>
    <definedName name="N2O_GWP" localSheetId="4">'[1]Conversion Factors'!$C$7</definedName>
    <definedName name="N2O_GWP" localSheetId="0">'[1]Conversion Factors'!$C$7</definedName>
    <definedName name="N2O_GWP">'Conversion Factors'!$C$8</definedName>
    <definedName name="N2O_N_MWRatio">'G Wastewater Factor Set'!$B$14</definedName>
    <definedName name="NG_CCF_to_mmBtu">'Conversion Factors'!$D$38</definedName>
    <definedName name="NG_CCF_to_Therm">'Conversion Factors'!$D$40</definedName>
    <definedName name="NG_EF">'C Stationary Fuel Factor Set'!$E$5</definedName>
    <definedName name="NG_m3_to_mmBtu">'Conversion Factors'!#REF!</definedName>
    <definedName name="Pi_x_EFi">'F Solid Waste Factor Set'!$D$16</definedName>
    <definedName name="Propane_CCF_to_mmBtu">'Conversion Factors'!$D$39</definedName>
    <definedName name="Propane_EF">'C Stationary Fuel Factor Set'!$E$6</definedName>
    <definedName name="ReportingYear">'Intro and Guide'!$A$14</definedName>
    <definedName name="s_to_C">'Conversion Factors'!$B$16</definedName>
    <definedName name="ton_to_kg">'Conversion Factors'!$B$24</definedName>
    <definedName name="ton_to_MT">'Conversion Factors'!$C$24</definedName>
    <definedName name="TotalNLoad">'G Wastewater Factor Set'!$B$10</definedName>
    <definedName name="Upstream_FuelOil_EF">'C Stationary Fuel Factor Set'!$B$29</definedName>
    <definedName name="Upstream_NG_EF">'C Stationary Fuel Factor Set'!$B$25</definedName>
    <definedName name="Upstream_Propane_EF">'C Stationary Fuel Factor Set'!$B$27</definedName>
    <definedName name="WWTP_EF_Fugitive">'G Wastewater Factor Set'!$B$13</definedName>
    <definedName name="WWTP_EF_nitdenit">'G Wastewater Factor Set'!$B$6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7" i="7" l="1"/>
  <c r="D61" i="22" l="1"/>
  <c r="D106" i="22"/>
  <c r="C127" i="19" l="1"/>
  <c r="C134" i="19"/>
  <c r="C124" i="19"/>
  <c r="C115" i="19"/>
  <c r="C109" i="19"/>
  <c r="C92" i="19"/>
  <c r="C74" i="19"/>
  <c r="C84" i="19"/>
  <c r="C82" i="19"/>
  <c r="C80" i="19"/>
  <c r="C78" i="19"/>
  <c r="C64" i="19"/>
  <c r="C51" i="19"/>
  <c r="C48" i="19"/>
  <c r="C42" i="19"/>
  <c r="C30" i="19"/>
  <c r="C29" i="19"/>
  <c r="C28" i="19"/>
  <c r="C27" i="19"/>
  <c r="C26" i="19"/>
  <c r="C18" i="19"/>
  <c r="C17" i="19"/>
  <c r="C16" i="19"/>
  <c r="C12" i="19"/>
  <c r="C19" i="19" s="1"/>
  <c r="C11" i="19"/>
  <c r="E89" i="29"/>
  <c r="B27" i="2"/>
  <c r="F52" i="8" s="1"/>
  <c r="F53" i="8"/>
  <c r="B29" i="2"/>
  <c r="B28" i="2"/>
  <c r="B25" i="2"/>
  <c r="B24" i="2"/>
  <c r="B53" i="8"/>
  <c r="B52" i="8"/>
  <c r="B44" i="29"/>
  <c r="B42" i="29"/>
  <c r="B45" i="29"/>
  <c r="B43" i="29"/>
  <c r="B33" i="29"/>
  <c r="B32" i="29"/>
  <c r="B31" i="29"/>
  <c r="B30" i="29"/>
  <c r="B29" i="29"/>
  <c r="B28" i="29"/>
  <c r="B27" i="29"/>
  <c r="B26" i="29"/>
  <c r="B25" i="29"/>
  <c r="B24" i="29"/>
  <c r="C86" i="29"/>
  <c r="C89" i="29"/>
  <c r="B15" i="29" s="1"/>
  <c r="B25" i="14"/>
  <c r="E88" i="29" s="1"/>
  <c r="C88" i="29"/>
  <c r="E85" i="29"/>
  <c r="C85" i="29"/>
  <c r="F83" i="29"/>
  <c r="F84" i="29"/>
  <c r="E84" i="29"/>
  <c r="E83" i="29"/>
  <c r="C84" i="29"/>
  <c r="C83" i="29"/>
  <c r="C82" i="29"/>
  <c r="C87" i="29" s="1"/>
  <c r="B14" i="29" s="1"/>
  <c r="C77" i="29"/>
  <c r="F74" i="29"/>
  <c r="F75" i="29"/>
  <c r="E75" i="29"/>
  <c r="E74" i="29"/>
  <c r="C75" i="29"/>
  <c r="C74" i="29"/>
  <c r="C73" i="29"/>
  <c r="E72" i="29"/>
  <c r="C72" i="29"/>
  <c r="E70" i="29"/>
  <c r="C70" i="29"/>
  <c r="E69" i="29"/>
  <c r="C69" i="29"/>
  <c r="G54" i="29"/>
  <c r="G55" i="29"/>
  <c r="G53" i="29"/>
  <c r="G52" i="29"/>
  <c r="G51" i="29"/>
  <c r="G50" i="29"/>
  <c r="C90" i="29" l="1"/>
  <c r="C76" i="29"/>
  <c r="E71" i="29"/>
  <c r="C71" i="29"/>
  <c r="C78" i="29" s="1"/>
  <c r="B13" i="29" s="1"/>
  <c r="D59" i="22"/>
  <c r="D56" i="22"/>
  <c r="D55" i="22"/>
  <c r="D52" i="22"/>
  <c r="D51" i="22"/>
  <c r="D50" i="22"/>
  <c r="D49" i="22"/>
  <c r="L7" i="11" l="1"/>
  <c r="L8" i="11"/>
  <c r="L6" i="11"/>
  <c r="H8" i="11"/>
  <c r="H7" i="11"/>
  <c r="H6" i="11"/>
  <c r="B50" i="25"/>
  <c r="B49" i="25"/>
  <c r="B47" i="25"/>
  <c r="B46" i="25"/>
  <c r="B45" i="25"/>
  <c r="B44" i="25"/>
  <c r="B40" i="25"/>
  <c r="B42" i="25"/>
  <c r="B43" i="25" s="1"/>
  <c r="B41" i="25"/>
  <c r="B39" i="25"/>
  <c r="B37" i="25"/>
  <c r="B38" i="25" s="1"/>
  <c r="B36" i="25"/>
  <c r="B35" i="25"/>
  <c r="B34" i="25"/>
  <c r="B33" i="25"/>
  <c r="B32" i="25"/>
  <c r="B31" i="25"/>
  <c r="B29" i="25"/>
  <c r="B28" i="25"/>
  <c r="B27" i="25"/>
  <c r="B26" i="25"/>
  <c r="B25" i="25"/>
  <c r="B23" i="25"/>
  <c r="B24" i="25"/>
  <c r="B22" i="25"/>
  <c r="B21" i="25"/>
  <c r="B20" i="25"/>
  <c r="B31" i="14"/>
  <c r="C16" i="6" l="1"/>
  <c r="E59" i="8" l="1"/>
  <c r="E12" i="16"/>
  <c r="D12" i="16"/>
  <c r="E6" i="16"/>
  <c r="D6" i="16"/>
  <c r="H37" i="3"/>
  <c r="AC19" i="12"/>
  <c r="AD19" i="12"/>
  <c r="AE19" i="12"/>
  <c r="AF19" i="12"/>
  <c r="AG19" i="12"/>
  <c r="AH19" i="12"/>
  <c r="AC20" i="12"/>
  <c r="AD20" i="12"/>
  <c r="AE20" i="12"/>
  <c r="AF20" i="12"/>
  <c r="AG20" i="12"/>
  <c r="AH20" i="12"/>
  <c r="AC10" i="12"/>
  <c r="AD10" i="12"/>
  <c r="AE10" i="12"/>
  <c r="AF10" i="12"/>
  <c r="AG10" i="12"/>
  <c r="AH10" i="12"/>
  <c r="AC11" i="12"/>
  <c r="AD11" i="12"/>
  <c r="AE11" i="12"/>
  <c r="AF11" i="12"/>
  <c r="AG11" i="12"/>
  <c r="AH11" i="12"/>
  <c r="D16" i="4"/>
  <c r="B15" i="4"/>
  <c r="B14" i="4"/>
  <c r="S28" i="12" l="1"/>
  <c r="R28" i="12"/>
  <c r="Q28" i="12"/>
  <c r="P28" i="12"/>
  <c r="O28" i="12"/>
  <c r="N28" i="12"/>
  <c r="M28" i="12"/>
  <c r="L28" i="12"/>
  <c r="K28" i="12"/>
  <c r="J28" i="12"/>
  <c r="I28" i="12"/>
  <c r="H28" i="12"/>
  <c r="G28" i="12"/>
  <c r="F28" i="12"/>
  <c r="E28" i="12"/>
  <c r="D28" i="12"/>
  <c r="C28" i="12"/>
  <c r="B28" i="12"/>
  <c r="S27" i="12"/>
  <c r="R27" i="12"/>
  <c r="Q27" i="12"/>
  <c r="P27" i="12"/>
  <c r="O27" i="12"/>
  <c r="N27" i="12"/>
  <c r="M27" i="12"/>
  <c r="L27" i="12"/>
  <c r="K27" i="12"/>
  <c r="J27" i="12"/>
  <c r="I27" i="12"/>
  <c r="H27" i="12"/>
  <c r="G27" i="12"/>
  <c r="F27" i="12"/>
  <c r="E27" i="12"/>
  <c r="D27" i="12"/>
  <c r="C27" i="12"/>
  <c r="B27" i="12"/>
  <c r="K19" i="12"/>
  <c r="L19" i="12"/>
  <c r="M19" i="12"/>
  <c r="N19" i="12"/>
  <c r="O19" i="12"/>
  <c r="P19" i="12"/>
  <c r="Q19" i="12"/>
  <c r="R19" i="12"/>
  <c r="S19" i="12"/>
  <c r="T19" i="12"/>
  <c r="U19" i="12"/>
  <c r="V19" i="12"/>
  <c r="W19" i="12"/>
  <c r="X19" i="12"/>
  <c r="Y19" i="12"/>
  <c r="Z19" i="12"/>
  <c r="AA19" i="12"/>
  <c r="AB19" i="12"/>
  <c r="K20" i="12"/>
  <c r="L20" i="12"/>
  <c r="M20" i="12"/>
  <c r="N20" i="12"/>
  <c r="O20" i="12"/>
  <c r="P20" i="12"/>
  <c r="Q20" i="12"/>
  <c r="R20" i="12"/>
  <c r="S20" i="12"/>
  <c r="T20" i="12"/>
  <c r="U20" i="12"/>
  <c r="V20" i="12"/>
  <c r="W20" i="12"/>
  <c r="X20" i="12"/>
  <c r="Y20" i="12"/>
  <c r="Z20" i="12"/>
  <c r="AA20" i="12"/>
  <c r="AB20" i="12"/>
  <c r="K10" i="12"/>
  <c r="L10" i="12"/>
  <c r="M10" i="12"/>
  <c r="N10" i="12"/>
  <c r="O10" i="12"/>
  <c r="P10" i="12"/>
  <c r="Q10" i="12"/>
  <c r="R10" i="12"/>
  <c r="S10" i="12"/>
  <c r="T10" i="12"/>
  <c r="U10" i="12"/>
  <c r="V10" i="12"/>
  <c r="W10" i="12"/>
  <c r="X10" i="12"/>
  <c r="Y10" i="12"/>
  <c r="Z10" i="12"/>
  <c r="AA10" i="12"/>
  <c r="AB10" i="12"/>
  <c r="K11" i="12"/>
  <c r="L11" i="12"/>
  <c r="M11" i="12"/>
  <c r="N11" i="12"/>
  <c r="O11" i="12"/>
  <c r="P11" i="12"/>
  <c r="Q11" i="12"/>
  <c r="R11" i="12"/>
  <c r="S11" i="12"/>
  <c r="T11" i="12"/>
  <c r="U11" i="12"/>
  <c r="V11" i="12"/>
  <c r="W11" i="12"/>
  <c r="X11" i="12"/>
  <c r="Y11" i="12"/>
  <c r="Z11" i="12"/>
  <c r="AA11" i="12"/>
  <c r="AB11" i="12"/>
  <c r="E9" i="7" l="1"/>
  <c r="C15" i="8" s="1"/>
  <c r="D9" i="7"/>
  <c r="C14" i="8" s="1"/>
  <c r="F55" i="29" l="1"/>
  <c r="F54" i="29"/>
  <c r="C117" i="19"/>
  <c r="C37" i="12"/>
  <c r="D37" i="12"/>
  <c r="E37" i="12"/>
  <c r="F37" i="12"/>
  <c r="G37" i="12"/>
  <c r="H37" i="12"/>
  <c r="I37" i="12"/>
  <c r="J37" i="12"/>
  <c r="K37" i="12"/>
  <c r="L37" i="12"/>
  <c r="M37" i="12"/>
  <c r="N37" i="12"/>
  <c r="O37" i="12"/>
  <c r="P37" i="12"/>
  <c r="Q37" i="12"/>
  <c r="R37" i="12"/>
  <c r="S37" i="12"/>
  <c r="T37" i="12"/>
  <c r="U37" i="12"/>
  <c r="V37" i="12"/>
  <c r="W37" i="12"/>
  <c r="X37" i="12"/>
  <c r="Y37" i="12"/>
  <c r="Z37" i="12"/>
  <c r="AA37" i="12"/>
  <c r="AB37" i="12"/>
  <c r="AC37" i="12"/>
  <c r="AD37" i="12"/>
  <c r="AE37" i="12"/>
  <c r="AF37" i="12"/>
  <c r="AG37" i="12"/>
  <c r="AH37" i="12"/>
  <c r="B37" i="12"/>
  <c r="V36" i="12"/>
  <c r="W36" i="12"/>
  <c r="X36" i="12"/>
  <c r="Y36" i="12"/>
  <c r="Z36" i="12"/>
  <c r="AA36" i="12"/>
  <c r="AB36" i="12"/>
  <c r="AC36" i="12"/>
  <c r="AD36" i="12"/>
  <c r="AE36" i="12"/>
  <c r="AF36" i="12"/>
  <c r="AG36" i="12"/>
  <c r="AH36" i="12"/>
  <c r="R36" i="12"/>
  <c r="S36" i="12"/>
  <c r="T36" i="12"/>
  <c r="U36" i="12"/>
  <c r="C36" i="12"/>
  <c r="D36" i="12"/>
  <c r="E36" i="12"/>
  <c r="F36" i="12"/>
  <c r="G36" i="12"/>
  <c r="H36" i="12"/>
  <c r="I36" i="12"/>
  <c r="J36" i="12"/>
  <c r="K36" i="12"/>
  <c r="L36" i="12"/>
  <c r="M36" i="12"/>
  <c r="N36" i="12"/>
  <c r="O36" i="12"/>
  <c r="P36" i="12"/>
  <c r="Q36" i="12"/>
  <c r="B36" i="12"/>
  <c r="C6" i="19" l="1"/>
  <c r="C81" i="19" l="1"/>
  <c r="C79" i="19"/>
  <c r="C83" i="19"/>
  <c r="C85" i="19"/>
  <c r="B18" i="3"/>
  <c r="B17" i="3"/>
  <c r="B16" i="3"/>
  <c r="B15" i="3"/>
  <c r="B14" i="3"/>
  <c r="B13" i="3"/>
  <c r="B12" i="3"/>
  <c r="B11" i="3"/>
  <c r="B10" i="3"/>
  <c r="B9" i="3"/>
  <c r="B24" i="14" l="1"/>
  <c r="C31" i="14" s="1"/>
  <c r="D31" i="14" s="1"/>
  <c r="B23" i="14"/>
  <c r="B7" i="14"/>
  <c r="B6" i="14"/>
  <c r="C30" i="14" l="1"/>
  <c r="D23" i="14"/>
  <c r="D24" i="14"/>
  <c r="E23" i="14"/>
  <c r="E24" i="14"/>
  <c r="B34" i="6"/>
  <c r="B33" i="6"/>
  <c r="E25" i="14" l="1"/>
  <c r="D25" i="14"/>
  <c r="F23" i="14"/>
  <c r="B30" i="14" s="1"/>
  <c r="D30" i="14" s="1"/>
  <c r="D32" i="14" s="1"/>
  <c r="C45" i="18"/>
  <c r="C46" i="18"/>
  <c r="C47" i="18"/>
  <c r="C48" i="18"/>
  <c r="C49" i="18"/>
  <c r="C50" i="18"/>
  <c r="C51" i="18"/>
  <c r="C52" i="18"/>
  <c r="C44" i="18"/>
  <c r="C25" i="18"/>
  <c r="C26" i="18"/>
  <c r="C27" i="18"/>
  <c r="C28" i="18"/>
  <c r="C29" i="18"/>
  <c r="C30" i="18"/>
  <c r="C31" i="18"/>
  <c r="C32" i="18"/>
  <c r="C33" i="18"/>
  <c r="C34" i="18"/>
  <c r="C35" i="18"/>
  <c r="C36" i="18"/>
  <c r="C37" i="18"/>
  <c r="C38" i="18"/>
  <c r="C39" i="18"/>
  <c r="C24" i="18"/>
  <c r="C17" i="18"/>
  <c r="C18" i="18"/>
  <c r="C19" i="18"/>
  <c r="C16" i="18"/>
  <c r="C6" i="18"/>
  <c r="C7" i="18"/>
  <c r="C8" i="18"/>
  <c r="C9" i="18"/>
  <c r="C10" i="18"/>
  <c r="C11" i="18"/>
  <c r="C5" i="18"/>
  <c r="C43" i="9"/>
  <c r="C44" i="9"/>
  <c r="C45" i="9"/>
  <c r="C42" i="9"/>
  <c r="E46" i="11"/>
  <c r="D70" i="22" l="1"/>
  <c r="D69" i="22" s="1"/>
  <c r="C130" i="19" s="1"/>
  <c r="F25" i="14"/>
  <c r="D5" i="22"/>
  <c r="D4" i="22"/>
  <c r="D3" i="22"/>
  <c r="C5" i="19" l="1"/>
  <c r="C50" i="19" l="1"/>
  <c r="C53" i="19"/>
  <c r="C129" i="19"/>
  <c r="B8" i="21" l="1" a="1"/>
  <c r="B8" i="21" s="1"/>
  <c r="AC12" i="21"/>
  <c r="R12" i="21"/>
  <c r="S12" i="21"/>
  <c r="T12" i="21"/>
  <c r="U12" i="21"/>
  <c r="V12" i="21"/>
  <c r="W12" i="21"/>
  <c r="X12" i="21"/>
  <c r="Y12" i="21"/>
  <c r="Z12" i="21"/>
  <c r="AA12" i="21"/>
  <c r="AB12" i="21"/>
  <c r="Q12" i="21"/>
  <c r="N14" i="21"/>
  <c r="N15" i="21"/>
  <c r="N16" i="21"/>
  <c r="N17" i="21"/>
  <c r="N18" i="21"/>
  <c r="N19" i="21"/>
  <c r="N20" i="21"/>
  <c r="N21" i="21"/>
  <c r="N22" i="21"/>
  <c r="N23" i="21"/>
  <c r="N24" i="21"/>
  <c r="N25" i="21"/>
  <c r="N26" i="21"/>
  <c r="N27" i="21"/>
  <c r="N28" i="21"/>
  <c r="N29" i="21"/>
  <c r="N30" i="21"/>
  <c r="N31" i="21"/>
  <c r="N32" i="21"/>
  <c r="N33" i="21"/>
  <c r="N13" i="21"/>
  <c r="B7" i="21" s="1" a="1"/>
  <c r="B7" i="21" s="1"/>
  <c r="A14" i="21"/>
  <c r="A15" i="21" s="1"/>
  <c r="A16" i="21" s="1"/>
  <c r="A17" i="21" s="1"/>
  <c r="A18" i="21" s="1"/>
  <c r="A19" i="21" s="1"/>
  <c r="A20" i="21" s="1"/>
  <c r="A21" i="21" s="1"/>
  <c r="A22" i="21" s="1"/>
  <c r="A23" i="21" s="1"/>
  <c r="A24" i="21" s="1"/>
  <c r="A25" i="21" s="1"/>
  <c r="A26" i="21" s="1"/>
  <c r="A27" i="21" s="1"/>
  <c r="A28" i="21" s="1"/>
  <c r="A29" i="21" s="1"/>
  <c r="A30" i="21" s="1"/>
  <c r="A31" i="21" s="1"/>
  <c r="A32" i="21" s="1"/>
  <c r="A33" i="21" s="1"/>
  <c r="D6" i="21"/>
  <c r="E6" i="21" s="1"/>
  <c r="F6" i="21" s="1"/>
  <c r="G6" i="21" s="1"/>
  <c r="H6" i="21" s="1"/>
  <c r="I6" i="21" s="1"/>
  <c r="J6" i="21" s="1"/>
  <c r="K6" i="21" s="1"/>
  <c r="L6" i="21" s="1"/>
  <c r="M6" i="21" s="1"/>
  <c r="N6" i="21" s="1"/>
  <c r="O6" i="21" s="1"/>
  <c r="P6" i="21" s="1"/>
  <c r="Q6" i="21" s="1"/>
  <c r="R6" i="21" s="1"/>
  <c r="S6" i="21" s="1"/>
  <c r="T6" i="21" s="1"/>
  <c r="U6" i="21" s="1"/>
  <c r="D38" i="4"/>
  <c r="D39" i="4"/>
  <c r="C4" i="19"/>
  <c r="C3" i="19"/>
  <c r="C52" i="19" l="1"/>
  <c r="C49" i="19"/>
  <c r="C128" i="19"/>
  <c r="E52" i="18" l="1"/>
  <c r="F52" i="18"/>
  <c r="B28" i="16" s="1"/>
  <c r="D52" i="18"/>
  <c r="E40" i="18"/>
  <c r="F40" i="18"/>
  <c r="B27" i="16" s="1"/>
  <c r="D40" i="18"/>
  <c r="C40" i="18" s="1"/>
  <c r="E20" i="18"/>
  <c r="F20" i="18"/>
  <c r="B20" i="16" s="1"/>
  <c r="D20" i="18"/>
  <c r="C20" i="18" s="1"/>
  <c r="E12" i="18"/>
  <c r="F12" i="18"/>
  <c r="B19" i="16" s="1"/>
  <c r="D12" i="18"/>
  <c r="C12" i="18" s="1"/>
  <c r="E9" i="9" l="1"/>
  <c r="D9" i="9"/>
  <c r="C9" i="9"/>
  <c r="B9" i="9"/>
  <c r="E54" i="11" l="1"/>
  <c r="E53" i="11"/>
  <c r="E52" i="11"/>
  <c r="E51" i="11"/>
  <c r="E50" i="11"/>
  <c r="E49" i="11"/>
  <c r="E48" i="11"/>
  <c r="D48" i="11"/>
  <c r="D49" i="11"/>
  <c r="D50" i="11"/>
  <c r="D51" i="11"/>
  <c r="D52" i="11"/>
  <c r="D53" i="11"/>
  <c r="D54" i="11"/>
  <c r="C49" i="11"/>
  <c r="C50" i="11"/>
  <c r="C51" i="11"/>
  <c r="C52" i="11"/>
  <c r="C53" i="11"/>
  <c r="C54" i="11"/>
  <c r="C48" i="11"/>
  <c r="D47" i="11" l="1"/>
  <c r="G47" i="11"/>
  <c r="E47" i="11"/>
  <c r="G46" i="11"/>
  <c r="D57" i="9"/>
  <c r="E57" i="9"/>
  <c r="F57" i="9"/>
  <c r="G57" i="9"/>
  <c r="H57" i="9"/>
  <c r="I57" i="9"/>
  <c r="J57" i="9"/>
  <c r="K57" i="9"/>
  <c r="L57" i="9"/>
  <c r="M57" i="9"/>
  <c r="N57" i="9"/>
  <c r="O57" i="9"/>
  <c r="P57" i="9"/>
  <c r="Q57" i="9"/>
  <c r="R57" i="9"/>
  <c r="B50" i="7" l="1"/>
  <c r="J20" i="12"/>
  <c r="I20" i="12"/>
  <c r="H20" i="12"/>
  <c r="G20" i="12"/>
  <c r="F20" i="12"/>
  <c r="E20" i="12"/>
  <c r="D20" i="12"/>
  <c r="C20" i="12"/>
  <c r="B20" i="12"/>
  <c r="J19" i="12"/>
  <c r="I19" i="12"/>
  <c r="H19" i="12"/>
  <c r="G19" i="12"/>
  <c r="F19" i="12"/>
  <c r="E19" i="12"/>
  <c r="D19" i="12"/>
  <c r="C19" i="12"/>
  <c r="B19" i="12"/>
  <c r="B14" i="15" l="1"/>
  <c r="B7" i="16"/>
  <c r="B13" i="16" l="1"/>
  <c r="D7" i="16"/>
  <c r="E7" i="16" s="1"/>
  <c r="B13" i="14"/>
  <c r="D63" i="22" s="1"/>
  <c r="C57" i="9"/>
  <c r="R80" i="3"/>
  <c r="S80" i="3" s="1"/>
  <c r="T80" i="3" s="1"/>
  <c r="N80" i="3"/>
  <c r="L79" i="3"/>
  <c r="M79" i="3" s="1"/>
  <c r="N79" i="3" s="1"/>
  <c r="O79" i="3" s="1"/>
  <c r="P79" i="3" s="1"/>
  <c r="Q79" i="3" s="1"/>
  <c r="R79" i="3" s="1"/>
  <c r="S79" i="3" s="1"/>
  <c r="T79" i="3" s="1"/>
  <c r="R78" i="3"/>
  <c r="S78" i="3" s="1"/>
  <c r="T78" i="3" s="1"/>
  <c r="N78" i="3"/>
  <c r="N77" i="3"/>
  <c r="R77" i="3"/>
  <c r="S77" i="3" s="1"/>
  <c r="T77" i="3" s="1"/>
  <c r="C10" i="12"/>
  <c r="D10" i="12"/>
  <c r="E10" i="12"/>
  <c r="F10" i="12"/>
  <c r="G10" i="12"/>
  <c r="H10" i="12"/>
  <c r="I10" i="12"/>
  <c r="J10" i="12"/>
  <c r="C11" i="12"/>
  <c r="D11" i="12"/>
  <c r="E11" i="12"/>
  <c r="F11" i="12"/>
  <c r="G11" i="12"/>
  <c r="H11" i="12"/>
  <c r="I11" i="12"/>
  <c r="J11" i="12"/>
  <c r="B11" i="12"/>
  <c r="B10" i="12"/>
  <c r="D61" i="11"/>
  <c r="D60" i="11"/>
  <c r="C61" i="11"/>
  <c r="C60" i="11"/>
  <c r="D13" i="16" l="1"/>
  <c r="E13" i="16" s="1"/>
  <c r="H61" i="11"/>
  <c r="G61" i="11"/>
  <c r="H60" i="11"/>
  <c r="H62" i="11" s="1"/>
  <c r="G60" i="11"/>
  <c r="A18" i="14"/>
  <c r="C18" i="14" s="1"/>
  <c r="B8" i="14"/>
  <c r="G62" i="11" l="1"/>
  <c r="D67" i="22"/>
  <c r="C39" i="11"/>
  <c r="C83" i="9"/>
  <c r="C84" i="9" s="1"/>
  <c r="D83" i="9"/>
  <c r="D84" i="9" s="1"/>
  <c r="E83" i="9"/>
  <c r="E84" i="9" s="1"/>
  <c r="F83" i="9"/>
  <c r="F84" i="9" s="1"/>
  <c r="G83" i="9"/>
  <c r="G84" i="9" s="1"/>
  <c r="H83" i="9"/>
  <c r="H84" i="9" s="1"/>
  <c r="I83" i="9"/>
  <c r="I84" i="9" s="1"/>
  <c r="J83" i="9"/>
  <c r="J84" i="9" s="1"/>
  <c r="B83" i="9"/>
  <c r="B84" i="9" s="1"/>
  <c r="B63" i="9"/>
  <c r="C40" i="11" s="1"/>
  <c r="A16" i="10"/>
  <c r="I23" i="10"/>
  <c r="L23" i="10" s="1"/>
  <c r="I118" i="10"/>
  <c r="M118" i="10" s="1"/>
  <c r="I117" i="10"/>
  <c r="L117" i="10" s="1"/>
  <c r="I116" i="10"/>
  <c r="M116" i="10" s="1"/>
  <c r="I115" i="10"/>
  <c r="I114" i="10"/>
  <c r="L114" i="10" s="1"/>
  <c r="I113" i="10"/>
  <c r="I112" i="10"/>
  <c r="L112" i="10" s="1"/>
  <c r="I111" i="10"/>
  <c r="L111" i="10" s="1"/>
  <c r="I110" i="10"/>
  <c r="M110" i="10" s="1"/>
  <c r="I109" i="10"/>
  <c r="L109" i="10" s="1"/>
  <c r="I108" i="10"/>
  <c r="I107" i="10"/>
  <c r="I106" i="10"/>
  <c r="I105" i="10"/>
  <c r="I103" i="10"/>
  <c r="L103" i="10" s="1"/>
  <c r="I100" i="10"/>
  <c r="L100" i="10" s="1"/>
  <c r="I98" i="10"/>
  <c r="M98" i="10" s="1"/>
  <c r="I97" i="10"/>
  <c r="I96" i="10"/>
  <c r="M96" i="10" s="1"/>
  <c r="I95" i="10"/>
  <c r="I93" i="10"/>
  <c r="I92" i="10"/>
  <c r="I91" i="10"/>
  <c r="L91" i="10" s="1"/>
  <c r="I89" i="10"/>
  <c r="M89" i="10" s="1"/>
  <c r="I88" i="10"/>
  <c r="M88" i="10" s="1"/>
  <c r="I87" i="10"/>
  <c r="I86" i="10"/>
  <c r="I85" i="10"/>
  <c r="I84" i="10"/>
  <c r="I83" i="10"/>
  <c r="I82" i="10"/>
  <c r="L82" i="10" s="1"/>
  <c r="I81" i="10"/>
  <c r="M81" i="10" s="1"/>
  <c r="I80" i="10"/>
  <c r="M80" i="10" s="1"/>
  <c r="I79" i="10"/>
  <c r="I78" i="10"/>
  <c r="I77" i="10"/>
  <c r="I76" i="10"/>
  <c r="I75" i="10"/>
  <c r="I74" i="10"/>
  <c r="L74" i="10" s="1"/>
  <c r="I73" i="10"/>
  <c r="M73" i="10" s="1"/>
  <c r="I72" i="10"/>
  <c r="L72" i="10" s="1"/>
  <c r="I71" i="10"/>
  <c r="I70" i="10"/>
  <c r="I69" i="10"/>
  <c r="I68" i="10"/>
  <c r="I67" i="10"/>
  <c r="I66" i="10"/>
  <c r="L66" i="10" s="1"/>
  <c r="I65" i="10"/>
  <c r="M65" i="10" s="1"/>
  <c r="I64" i="10"/>
  <c r="L64" i="10" s="1"/>
  <c r="I63" i="10"/>
  <c r="I62" i="10"/>
  <c r="I61" i="10"/>
  <c r="I60" i="10"/>
  <c r="I59" i="10"/>
  <c r="I58" i="10"/>
  <c r="L58" i="10" s="1"/>
  <c r="I57" i="10"/>
  <c r="M57" i="10" s="1"/>
  <c r="I56" i="10"/>
  <c r="L56" i="10" s="1"/>
  <c r="I55" i="10"/>
  <c r="I54" i="10"/>
  <c r="I53" i="10"/>
  <c r="L53" i="10" s="1"/>
  <c r="I52" i="10"/>
  <c r="I51" i="10"/>
  <c r="I50" i="10"/>
  <c r="L50" i="10" s="1"/>
  <c r="I49" i="10"/>
  <c r="M49" i="10" s="1"/>
  <c r="I48" i="10"/>
  <c r="L48" i="10" s="1"/>
  <c r="I47" i="10"/>
  <c r="I46" i="10"/>
  <c r="I45" i="10"/>
  <c r="L45" i="10" s="1"/>
  <c r="I44" i="10"/>
  <c r="I43" i="10"/>
  <c r="I42" i="10"/>
  <c r="L42" i="10" s="1"/>
  <c r="I41" i="10"/>
  <c r="M41" i="10" s="1"/>
  <c r="I40" i="10"/>
  <c r="L40" i="10" s="1"/>
  <c r="I39" i="10"/>
  <c r="I38" i="10"/>
  <c r="I37" i="10"/>
  <c r="L37" i="10" s="1"/>
  <c r="I36" i="10"/>
  <c r="I35" i="10"/>
  <c r="I34" i="10"/>
  <c r="L34" i="10" s="1"/>
  <c r="I33" i="10"/>
  <c r="M33" i="10" s="1"/>
  <c r="I32" i="10"/>
  <c r="L32" i="10" s="1"/>
  <c r="I31" i="10"/>
  <c r="I30" i="10"/>
  <c r="I29" i="10"/>
  <c r="L29" i="10" s="1"/>
  <c r="I28" i="10"/>
  <c r="I27" i="10"/>
  <c r="I26" i="10"/>
  <c r="L26" i="10" s="1"/>
  <c r="I25" i="10"/>
  <c r="L25" i="10" s="1"/>
  <c r="I24" i="10"/>
  <c r="L24" i="10" s="1"/>
  <c r="D34" i="9"/>
  <c r="D33" i="9"/>
  <c r="C118" i="19" s="1"/>
  <c r="B28" i="9"/>
  <c r="C17" i="9" s="1"/>
  <c r="C8" i="11" s="1"/>
  <c r="E34" i="4"/>
  <c r="B26" i="2"/>
  <c r="C59" i="8"/>
  <c r="C83" i="7"/>
  <c r="D83" i="7"/>
  <c r="E83" i="7"/>
  <c r="F83" i="7"/>
  <c r="G83" i="7"/>
  <c r="H83" i="7"/>
  <c r="I83" i="7"/>
  <c r="J83" i="7"/>
  <c r="K83" i="7"/>
  <c r="L83" i="7"/>
  <c r="M83" i="7"/>
  <c r="N83" i="7"/>
  <c r="O83" i="7"/>
  <c r="P83" i="7"/>
  <c r="Q83" i="7"/>
  <c r="R83" i="7"/>
  <c r="S83" i="7"/>
  <c r="T83" i="7"/>
  <c r="U83" i="7"/>
  <c r="V83" i="7"/>
  <c r="W83" i="7"/>
  <c r="X83" i="7"/>
  <c r="Y83" i="7"/>
  <c r="Z83" i="7"/>
  <c r="AA83" i="7"/>
  <c r="AB83" i="7"/>
  <c r="AC83" i="7"/>
  <c r="AD83" i="7"/>
  <c r="B83" i="7"/>
  <c r="C82" i="7"/>
  <c r="D82" i="7"/>
  <c r="E82" i="7"/>
  <c r="F82" i="7"/>
  <c r="G82" i="7"/>
  <c r="H82" i="7"/>
  <c r="I82" i="7"/>
  <c r="J82" i="7"/>
  <c r="K82" i="7"/>
  <c r="L82" i="7"/>
  <c r="M82" i="7"/>
  <c r="N82" i="7"/>
  <c r="O82" i="7"/>
  <c r="P82" i="7"/>
  <c r="Q82" i="7"/>
  <c r="R82" i="7"/>
  <c r="S82" i="7"/>
  <c r="T82" i="7"/>
  <c r="U82" i="7"/>
  <c r="V82" i="7"/>
  <c r="W82" i="7"/>
  <c r="X82" i="7"/>
  <c r="Y82" i="7"/>
  <c r="Z82" i="7"/>
  <c r="AA82" i="7"/>
  <c r="AB82" i="7"/>
  <c r="AC82" i="7"/>
  <c r="AD82" i="7"/>
  <c r="B82" i="7"/>
  <c r="C9" i="7"/>
  <c r="C13" i="8" s="1"/>
  <c r="B9" i="7"/>
  <c r="C39" i="7"/>
  <c r="C12" i="7" s="1"/>
  <c r="C12" i="8" s="1"/>
  <c r="B39" i="7"/>
  <c r="B12" i="7" s="1"/>
  <c r="B28" i="8" s="1"/>
  <c r="B42" i="8" s="1"/>
  <c r="C31" i="7"/>
  <c r="C11" i="7" s="1"/>
  <c r="C11" i="8" s="1"/>
  <c r="B31" i="7"/>
  <c r="C23" i="7"/>
  <c r="C7" i="8" s="1"/>
  <c r="B23" i="7"/>
  <c r="B7" i="7" s="1"/>
  <c r="B24" i="8" s="1"/>
  <c r="F53" i="29" l="1"/>
  <c r="F57" i="29"/>
  <c r="F50" i="29"/>
  <c r="G40" i="11"/>
  <c r="F40" i="11"/>
  <c r="E40" i="11"/>
  <c r="E39" i="11"/>
  <c r="G39" i="11"/>
  <c r="F39" i="11"/>
  <c r="C43" i="19"/>
  <c r="B39" i="8"/>
  <c r="B10" i="7"/>
  <c r="B30" i="8" s="1"/>
  <c r="B11" i="7"/>
  <c r="C36" i="19"/>
  <c r="C54" i="19" s="1"/>
  <c r="C70" i="19"/>
  <c r="B29" i="8"/>
  <c r="F59" i="29" s="1"/>
  <c r="C8" i="7"/>
  <c r="C10" i="8" s="1"/>
  <c r="F35" i="10"/>
  <c r="F51" i="10"/>
  <c r="F67" i="10"/>
  <c r="F83" i="10"/>
  <c r="F99" i="10"/>
  <c r="F115" i="10"/>
  <c r="F131" i="10"/>
  <c r="F147" i="10"/>
  <c r="F163" i="10"/>
  <c r="F179" i="10"/>
  <c r="L57" i="10"/>
  <c r="L80" i="10"/>
  <c r="E176" i="10"/>
  <c r="E160" i="10"/>
  <c r="E144" i="10"/>
  <c r="E128" i="10"/>
  <c r="E112" i="10"/>
  <c r="E96" i="10"/>
  <c r="E80" i="10"/>
  <c r="E64" i="10"/>
  <c r="E48" i="10"/>
  <c r="E32" i="10"/>
  <c r="L113" i="10"/>
  <c r="L97" i="10"/>
  <c r="L77" i="10"/>
  <c r="M56" i="10"/>
  <c r="L33" i="10"/>
  <c r="L27" i="10"/>
  <c r="L35" i="10"/>
  <c r="L43" i="10"/>
  <c r="L51" i="10"/>
  <c r="L59" i="10"/>
  <c r="L67" i="10"/>
  <c r="L75" i="10"/>
  <c r="L83" i="10"/>
  <c r="L92" i="10"/>
  <c r="M105" i="10"/>
  <c r="M113" i="10"/>
  <c r="F23" i="10"/>
  <c r="F175" i="10"/>
  <c r="F159" i="10"/>
  <c r="F143" i="10"/>
  <c r="F127" i="10"/>
  <c r="F111" i="10"/>
  <c r="F95" i="10"/>
  <c r="F79" i="10"/>
  <c r="F63" i="10"/>
  <c r="F47" i="10"/>
  <c r="F31" i="10"/>
  <c r="M112" i="10"/>
  <c r="L73" i="10"/>
  <c r="M32" i="10"/>
  <c r="F187" i="10"/>
  <c r="E172" i="10"/>
  <c r="E156" i="10"/>
  <c r="E140" i="10"/>
  <c r="E124" i="10"/>
  <c r="E108" i="10"/>
  <c r="E92" i="10"/>
  <c r="E76" i="10"/>
  <c r="E60" i="10"/>
  <c r="E44" i="10"/>
  <c r="E28" i="10"/>
  <c r="M92" i="10"/>
  <c r="M72" i="10"/>
  <c r="L49" i="10"/>
  <c r="L36" i="10"/>
  <c r="L52" i="10"/>
  <c r="L60" i="10"/>
  <c r="L76" i="10"/>
  <c r="M93" i="10"/>
  <c r="M29" i="10"/>
  <c r="M53" i="10"/>
  <c r="M69" i="10"/>
  <c r="L115" i="10"/>
  <c r="F123" i="10"/>
  <c r="F27" i="10"/>
  <c r="L30" i="10"/>
  <c r="L38" i="10"/>
  <c r="L46" i="10"/>
  <c r="L54" i="10"/>
  <c r="L62" i="10"/>
  <c r="L70" i="10"/>
  <c r="L78" i="10"/>
  <c r="L86" i="10"/>
  <c r="L96" i="10"/>
  <c r="L108" i="10"/>
  <c r="L116" i="10"/>
  <c r="E184" i="10"/>
  <c r="E168" i="10"/>
  <c r="E152" i="10"/>
  <c r="E136" i="10"/>
  <c r="E120" i="10"/>
  <c r="E104" i="10"/>
  <c r="E88" i="10"/>
  <c r="E72" i="10"/>
  <c r="E56" i="10"/>
  <c r="E40" i="10"/>
  <c r="E24" i="10"/>
  <c r="L105" i="10"/>
  <c r="L65" i="10"/>
  <c r="M100" i="10"/>
  <c r="L28" i="10"/>
  <c r="L44" i="10"/>
  <c r="L68" i="10"/>
  <c r="L84" i="10"/>
  <c r="L106" i="10"/>
  <c r="M37" i="10"/>
  <c r="M45" i="10"/>
  <c r="M61" i="10"/>
  <c r="M77" i="10"/>
  <c r="M85" i="10"/>
  <c r="L95" i="10"/>
  <c r="L107" i="10"/>
  <c r="E187" i="10"/>
  <c r="F171" i="10"/>
  <c r="F155" i="10"/>
  <c r="F139" i="10"/>
  <c r="F107" i="10"/>
  <c r="F91" i="10"/>
  <c r="F75" i="10"/>
  <c r="F59" i="10"/>
  <c r="F43" i="10"/>
  <c r="M108" i="10"/>
  <c r="L89" i="10"/>
  <c r="L69" i="10"/>
  <c r="M48" i="10"/>
  <c r="L31" i="10"/>
  <c r="L39" i="10"/>
  <c r="L47" i="10"/>
  <c r="L55" i="10"/>
  <c r="L63" i="10"/>
  <c r="L71" i="10"/>
  <c r="L79" i="10"/>
  <c r="L87" i="10"/>
  <c r="M97" i="10"/>
  <c r="F183" i="10"/>
  <c r="F167" i="10"/>
  <c r="F151" i="10"/>
  <c r="F135" i="10"/>
  <c r="F119" i="10"/>
  <c r="F103" i="10"/>
  <c r="F87" i="10"/>
  <c r="F71" i="10"/>
  <c r="F55" i="10"/>
  <c r="F39" i="10"/>
  <c r="M104" i="10"/>
  <c r="L85" i="10"/>
  <c r="M64" i="10"/>
  <c r="L41" i="10"/>
  <c r="E180" i="10"/>
  <c r="E164" i="10"/>
  <c r="E148" i="10"/>
  <c r="E132" i="10"/>
  <c r="E116" i="10"/>
  <c r="E100" i="10"/>
  <c r="E84" i="10"/>
  <c r="E68" i="10"/>
  <c r="E52" i="10"/>
  <c r="E36" i="10"/>
  <c r="L101" i="10"/>
  <c r="L81" i="10"/>
  <c r="L61" i="10"/>
  <c r="M40" i="10"/>
  <c r="C26" i="9"/>
  <c r="C32" i="11" s="1"/>
  <c r="C23" i="9"/>
  <c r="C29" i="11" s="1"/>
  <c r="C27" i="9"/>
  <c r="C33" i="11" s="1"/>
  <c r="C25" i="9"/>
  <c r="C31" i="11" s="1"/>
  <c r="C24" i="9"/>
  <c r="C30" i="11" s="1"/>
  <c r="C22" i="9"/>
  <c r="C16" i="9"/>
  <c r="M84" i="10"/>
  <c r="M60" i="10"/>
  <c r="M52" i="10"/>
  <c r="M28" i="10"/>
  <c r="F186" i="10"/>
  <c r="F182" i="10"/>
  <c r="F178" i="10"/>
  <c r="F174" i="10"/>
  <c r="F170" i="10"/>
  <c r="F166" i="10"/>
  <c r="F162" i="10"/>
  <c r="F158" i="10"/>
  <c r="F154" i="10"/>
  <c r="F150" i="10"/>
  <c r="F146" i="10"/>
  <c r="F142" i="10"/>
  <c r="F138" i="10"/>
  <c r="F134" i="10"/>
  <c r="F130" i="10"/>
  <c r="F126" i="10"/>
  <c r="F122" i="10"/>
  <c r="F118" i="10"/>
  <c r="F114" i="10"/>
  <c r="F110" i="10"/>
  <c r="F106" i="10"/>
  <c r="F102" i="10"/>
  <c r="F98" i="10"/>
  <c r="F94" i="10"/>
  <c r="F90" i="10"/>
  <c r="F86" i="10"/>
  <c r="F82" i="10"/>
  <c r="F78" i="10"/>
  <c r="F74" i="10"/>
  <c r="F70" i="10"/>
  <c r="F66" i="10"/>
  <c r="F62" i="10"/>
  <c r="F58" i="10"/>
  <c r="F54" i="10"/>
  <c r="F50" i="10"/>
  <c r="F46" i="10"/>
  <c r="F42" i="10"/>
  <c r="F38" i="10"/>
  <c r="F34" i="10"/>
  <c r="F30" i="10"/>
  <c r="F26" i="10"/>
  <c r="M119" i="10"/>
  <c r="M115" i="10"/>
  <c r="M111" i="10"/>
  <c r="M107" i="10"/>
  <c r="M103" i="10"/>
  <c r="M99" i="10"/>
  <c r="M95" i="10"/>
  <c r="M91" i="10"/>
  <c r="M87" i="10"/>
  <c r="M83" i="10"/>
  <c r="M79" i="10"/>
  <c r="M75" i="10"/>
  <c r="M71" i="10"/>
  <c r="M67" i="10"/>
  <c r="M63" i="10"/>
  <c r="M59" i="10"/>
  <c r="M55" i="10"/>
  <c r="M51" i="10"/>
  <c r="M47" i="10"/>
  <c r="M43" i="10"/>
  <c r="M39" i="10"/>
  <c r="M35" i="10"/>
  <c r="M31" i="10"/>
  <c r="M27" i="10"/>
  <c r="M76" i="10"/>
  <c r="M68" i="10"/>
  <c r="E183" i="10"/>
  <c r="E175" i="10"/>
  <c r="E163" i="10"/>
  <c r="E186" i="10"/>
  <c r="E182" i="10"/>
  <c r="E178" i="10"/>
  <c r="E174" i="10"/>
  <c r="E170" i="10"/>
  <c r="E166" i="10"/>
  <c r="E162" i="10"/>
  <c r="E158" i="10"/>
  <c r="E154" i="10"/>
  <c r="E150" i="10"/>
  <c r="E146" i="10"/>
  <c r="E142" i="10"/>
  <c r="E138" i="10"/>
  <c r="E134" i="10"/>
  <c r="E130" i="10"/>
  <c r="E126" i="10"/>
  <c r="E122" i="10"/>
  <c r="E118" i="10"/>
  <c r="E114" i="10"/>
  <c r="E110" i="10"/>
  <c r="E106" i="10"/>
  <c r="E102" i="10"/>
  <c r="E98" i="10"/>
  <c r="E94" i="10"/>
  <c r="E90" i="10"/>
  <c r="E86" i="10"/>
  <c r="E82" i="10"/>
  <c r="E78" i="10"/>
  <c r="E74" i="10"/>
  <c r="E70" i="10"/>
  <c r="E66" i="10"/>
  <c r="E62" i="10"/>
  <c r="E58" i="10"/>
  <c r="E54" i="10"/>
  <c r="E50" i="10"/>
  <c r="E46" i="10"/>
  <c r="E42" i="10"/>
  <c r="E38" i="10"/>
  <c r="E34" i="10"/>
  <c r="E30" i="10"/>
  <c r="E26" i="10"/>
  <c r="L119" i="10"/>
  <c r="L99" i="10"/>
  <c r="M36" i="10"/>
  <c r="F185" i="10"/>
  <c r="F181" i="10"/>
  <c r="F177" i="10"/>
  <c r="F173" i="10"/>
  <c r="F169" i="10"/>
  <c r="F165" i="10"/>
  <c r="F161" i="10"/>
  <c r="F157" i="10"/>
  <c r="F153" i="10"/>
  <c r="F149" i="10"/>
  <c r="F145" i="10"/>
  <c r="F141" i="10"/>
  <c r="F137" i="10"/>
  <c r="F133" i="10"/>
  <c r="F129" i="10"/>
  <c r="F125" i="10"/>
  <c r="F121" i="10"/>
  <c r="F117" i="10"/>
  <c r="F113" i="10"/>
  <c r="F109" i="10"/>
  <c r="F105" i="10"/>
  <c r="F101" i="10"/>
  <c r="F97" i="10"/>
  <c r="F93" i="10"/>
  <c r="F89" i="10"/>
  <c r="F85" i="10"/>
  <c r="F81" i="10"/>
  <c r="F77" i="10"/>
  <c r="F73" i="10"/>
  <c r="F69" i="10"/>
  <c r="F65" i="10"/>
  <c r="F61" i="10"/>
  <c r="F57" i="10"/>
  <c r="F53" i="10"/>
  <c r="F49" i="10"/>
  <c r="F45" i="10"/>
  <c r="F41" i="10"/>
  <c r="F37" i="10"/>
  <c r="F33" i="10"/>
  <c r="F29" i="10"/>
  <c r="F25" i="10"/>
  <c r="M114" i="10"/>
  <c r="M106" i="10"/>
  <c r="M102" i="10"/>
  <c r="M94" i="10"/>
  <c r="M90" i="10"/>
  <c r="M86" i="10"/>
  <c r="M82" i="10"/>
  <c r="M78" i="10"/>
  <c r="M74" i="10"/>
  <c r="M70" i="10"/>
  <c r="M66" i="10"/>
  <c r="M62" i="10"/>
  <c r="M58" i="10"/>
  <c r="M54" i="10"/>
  <c r="M50" i="10"/>
  <c r="M46" i="10"/>
  <c r="M42" i="10"/>
  <c r="M38" i="10"/>
  <c r="M34" i="10"/>
  <c r="M30" i="10"/>
  <c r="M26" i="10"/>
  <c r="L93" i="10"/>
  <c r="E185" i="10"/>
  <c r="E181" i="10"/>
  <c r="E177" i="10"/>
  <c r="E173" i="10"/>
  <c r="E169" i="10"/>
  <c r="E165" i="10"/>
  <c r="E161" i="10"/>
  <c r="E157" i="10"/>
  <c r="E153" i="10"/>
  <c r="E149" i="10"/>
  <c r="E145" i="10"/>
  <c r="E141" i="10"/>
  <c r="E137" i="10"/>
  <c r="E133" i="10"/>
  <c r="E129" i="10"/>
  <c r="E125" i="10"/>
  <c r="E121" i="10"/>
  <c r="E117" i="10"/>
  <c r="E113" i="10"/>
  <c r="E109" i="10"/>
  <c r="E105" i="10"/>
  <c r="E101" i="10"/>
  <c r="E97" i="10"/>
  <c r="E93" i="10"/>
  <c r="E89" i="10"/>
  <c r="E85" i="10"/>
  <c r="E81" i="10"/>
  <c r="E77" i="10"/>
  <c r="E73" i="10"/>
  <c r="E69" i="10"/>
  <c r="E65" i="10"/>
  <c r="E61" i="10"/>
  <c r="E57" i="10"/>
  <c r="E53" i="10"/>
  <c r="E49" i="10"/>
  <c r="E45" i="10"/>
  <c r="E41" i="10"/>
  <c r="E37" i="10"/>
  <c r="E33" i="10"/>
  <c r="E29" i="10"/>
  <c r="E25" i="10"/>
  <c r="L118" i="10"/>
  <c r="L110" i="10"/>
  <c r="L102" i="10"/>
  <c r="L98" i="10"/>
  <c r="L94" i="10"/>
  <c r="L90" i="10"/>
  <c r="E23" i="10"/>
  <c r="F184" i="10"/>
  <c r="F180" i="10"/>
  <c r="F176" i="10"/>
  <c r="F172" i="10"/>
  <c r="F168" i="10"/>
  <c r="F164" i="10"/>
  <c r="F160" i="10"/>
  <c r="F156" i="10"/>
  <c r="F152" i="10"/>
  <c r="F148" i="10"/>
  <c r="F144" i="10"/>
  <c r="F140" i="10"/>
  <c r="F136" i="10"/>
  <c r="F132" i="10"/>
  <c r="F128" i="10"/>
  <c r="F124" i="10"/>
  <c r="F120" i="10"/>
  <c r="F116" i="10"/>
  <c r="F112" i="10"/>
  <c r="F108" i="10"/>
  <c r="F104" i="10"/>
  <c r="F100" i="10"/>
  <c r="F96" i="10"/>
  <c r="F92" i="10"/>
  <c r="F88" i="10"/>
  <c r="F84" i="10"/>
  <c r="F80" i="10"/>
  <c r="F76" i="10"/>
  <c r="F72" i="10"/>
  <c r="F68" i="10"/>
  <c r="F64" i="10"/>
  <c r="F60" i="10"/>
  <c r="F56" i="10"/>
  <c r="F52" i="10"/>
  <c r="F48" i="10"/>
  <c r="F44" i="10"/>
  <c r="F40" i="10"/>
  <c r="F36" i="10"/>
  <c r="F32" i="10"/>
  <c r="F28" i="10"/>
  <c r="F24" i="10"/>
  <c r="M117" i="10"/>
  <c r="M109" i="10"/>
  <c r="M101" i="10"/>
  <c r="M25" i="10"/>
  <c r="M24" i="10"/>
  <c r="M44" i="10"/>
  <c r="E179" i="10"/>
  <c r="E171" i="10"/>
  <c r="E167" i="10"/>
  <c r="E159" i="10"/>
  <c r="E155" i="10"/>
  <c r="E151" i="10"/>
  <c r="E147" i="10"/>
  <c r="E143" i="10"/>
  <c r="E139" i="10"/>
  <c r="E135" i="10"/>
  <c r="E131" i="10"/>
  <c r="E127" i="10"/>
  <c r="E123" i="10"/>
  <c r="E119" i="10"/>
  <c r="E115" i="10"/>
  <c r="E111" i="10"/>
  <c r="E107" i="10"/>
  <c r="E103" i="10"/>
  <c r="E99" i="10"/>
  <c r="E95" i="10"/>
  <c r="E91" i="10"/>
  <c r="E87" i="10"/>
  <c r="E83" i="10"/>
  <c r="E79" i="10"/>
  <c r="E75" i="10"/>
  <c r="E71" i="10"/>
  <c r="E67" i="10"/>
  <c r="E63" i="10"/>
  <c r="E59" i="10"/>
  <c r="E55" i="10"/>
  <c r="E51" i="10"/>
  <c r="E47" i="10"/>
  <c r="E43" i="10"/>
  <c r="E39" i="10"/>
  <c r="E35" i="10"/>
  <c r="E31" i="10"/>
  <c r="E27" i="10"/>
  <c r="M23" i="10"/>
  <c r="L104" i="10"/>
  <c r="L88" i="10"/>
  <c r="C18" i="9"/>
  <c r="C15" i="9"/>
  <c r="B35" i="8"/>
  <c r="D42" i="8" s="1"/>
  <c r="E42" i="8" s="1"/>
  <c r="C71" i="19" l="1"/>
  <c r="C86" i="19"/>
  <c r="F52" i="29"/>
  <c r="F56" i="29" s="1"/>
  <c r="F41" i="11"/>
  <c r="B43" i="8"/>
  <c r="D43" i="8" s="1"/>
  <c r="F63" i="29" s="1"/>
  <c r="G41" i="11"/>
  <c r="E41" i="11"/>
  <c r="H40" i="11"/>
  <c r="H39" i="11"/>
  <c r="D39" i="8"/>
  <c r="C44" i="19"/>
  <c r="B8" i="7"/>
  <c r="B26" i="8" s="1"/>
  <c r="C62" i="19"/>
  <c r="C66" i="19" s="1"/>
  <c r="B32" i="8"/>
  <c r="C75" i="19"/>
  <c r="C10" i="7"/>
  <c r="C17" i="8" s="1"/>
  <c r="C38" i="19"/>
  <c r="C37" i="19"/>
  <c r="C55" i="19" s="1"/>
  <c r="B27" i="8"/>
  <c r="B41" i="8" s="1"/>
  <c r="D41" i="8" s="1"/>
  <c r="E41" i="8" s="1"/>
  <c r="C6" i="11"/>
  <c r="C27" i="11"/>
  <c r="C7" i="11"/>
  <c r="C28" i="11"/>
  <c r="B6" i="10"/>
  <c r="C5" i="10"/>
  <c r="B5" i="10"/>
  <c r="B7" i="10" s="1"/>
  <c r="C6" i="10"/>
  <c r="C28" i="9"/>
  <c r="F61" i="29" l="1"/>
  <c r="F58" i="29"/>
  <c r="F60" i="29" s="1"/>
  <c r="H41" i="11"/>
  <c r="E43" i="8"/>
  <c r="D63" i="29" s="1"/>
  <c r="E39" i="8"/>
  <c r="C56" i="19"/>
  <c r="B40" i="8"/>
  <c r="C9" i="11"/>
  <c r="C95" i="19" s="1"/>
  <c r="C96" i="19" s="1"/>
  <c r="C87" i="19"/>
  <c r="B50" i="8"/>
  <c r="D50" i="8" s="1"/>
  <c r="C34" i="11"/>
  <c r="C110" i="19" s="1"/>
  <c r="C7" i="10"/>
  <c r="C11" i="11" s="1"/>
  <c r="E30" i="4"/>
  <c r="E31" i="4"/>
  <c r="E32" i="4"/>
  <c r="E33" i="4"/>
  <c r="D61" i="29" l="1"/>
  <c r="D18" i="22"/>
  <c r="F65" i="29"/>
  <c r="C100" i="19"/>
  <c r="C105" i="19" s="1"/>
  <c r="C107" i="19" s="1"/>
  <c r="R12" i="11"/>
  <c r="Q12" i="11"/>
  <c r="C12" i="11"/>
  <c r="D40" i="8"/>
  <c r="B44" i="8"/>
  <c r="C97" i="19"/>
  <c r="B51" i="8"/>
  <c r="F51" i="8" s="1"/>
  <c r="I67" i="7"/>
  <c r="H67" i="7"/>
  <c r="G67" i="7"/>
  <c r="F67" i="7"/>
  <c r="E67" i="7"/>
  <c r="C67" i="7"/>
  <c r="D67" i="7"/>
  <c r="B67" i="7"/>
  <c r="J67" i="7"/>
  <c r="D7" i="7" s="1"/>
  <c r="C6" i="8" s="1"/>
  <c r="F51" i="29" s="1"/>
  <c r="D8" i="6"/>
  <c r="D9" i="6"/>
  <c r="D10" i="6"/>
  <c r="D11" i="6"/>
  <c r="D14" i="6"/>
  <c r="D15" i="6"/>
  <c r="D7" i="6"/>
  <c r="C12" i="6"/>
  <c r="F62" i="29" l="1"/>
  <c r="F64" i="29" s="1"/>
  <c r="Q13" i="11"/>
  <c r="Q11" i="11" s="1"/>
  <c r="P12" i="11"/>
  <c r="C13" i="11"/>
  <c r="E40" i="8"/>
  <c r="D44" i="8"/>
  <c r="C13" i="6"/>
  <c r="C112" i="19"/>
  <c r="C113" i="19" s="1"/>
  <c r="C106" i="19"/>
  <c r="D12" i="6"/>
  <c r="D18" i="3"/>
  <c r="D17" i="3"/>
  <c r="D16" i="3"/>
  <c r="D15" i="3"/>
  <c r="D14" i="3"/>
  <c r="D13" i="3"/>
  <c r="D12" i="3"/>
  <c r="D11" i="3"/>
  <c r="D10" i="3"/>
  <c r="E42" i="3"/>
  <c r="H42" i="3" s="1"/>
  <c r="E43" i="3"/>
  <c r="H43" i="3" s="1"/>
  <c r="E44" i="3"/>
  <c r="H44" i="3" s="1"/>
  <c r="E45" i="3"/>
  <c r="H45" i="3" s="1"/>
  <c r="E46" i="3"/>
  <c r="H46" i="3" s="1"/>
  <c r="E41" i="3"/>
  <c r="H41" i="3" s="1"/>
  <c r="E40" i="3"/>
  <c r="H40" i="3" s="1"/>
  <c r="E39" i="3"/>
  <c r="H39" i="3" s="1"/>
  <c r="E38" i="3"/>
  <c r="H38" i="3" s="1"/>
  <c r="E28" i="3"/>
  <c r="H28" i="3" s="1"/>
  <c r="E29" i="3"/>
  <c r="H29" i="3" s="1"/>
  <c r="E30" i="3"/>
  <c r="H30" i="3" s="1"/>
  <c r="E31" i="3"/>
  <c r="H31" i="3" s="1"/>
  <c r="E32" i="3"/>
  <c r="H32" i="3" s="1"/>
  <c r="E27" i="3"/>
  <c r="H27" i="3" s="1"/>
  <c r="E26" i="3"/>
  <c r="H26" i="3" s="1"/>
  <c r="E25" i="3"/>
  <c r="H25" i="3" s="1"/>
  <c r="E24" i="3"/>
  <c r="H24" i="3" s="1"/>
  <c r="C23" i="3"/>
  <c r="C37" i="3" s="1"/>
  <c r="C9" i="3"/>
  <c r="E6" i="11" s="1"/>
  <c r="F6" i="11" s="1"/>
  <c r="D113" i="3"/>
  <c r="E113" i="3" s="1"/>
  <c r="F113" i="3" s="1"/>
  <c r="G113" i="3" s="1"/>
  <c r="H113" i="3" s="1"/>
  <c r="I113" i="3" s="1"/>
  <c r="J113" i="3" s="1"/>
  <c r="K113" i="3" s="1"/>
  <c r="L113" i="3" s="1"/>
  <c r="M113" i="3" s="1"/>
  <c r="N113" i="3" s="1"/>
  <c r="O113" i="3" s="1"/>
  <c r="P113" i="3" s="1"/>
  <c r="Q113" i="3" s="1"/>
  <c r="R113" i="3" s="1"/>
  <c r="S113" i="3" s="1"/>
  <c r="T113" i="3" s="1"/>
  <c r="U113" i="3" s="1"/>
  <c r="V113" i="3" s="1"/>
  <c r="W113" i="3" s="1"/>
  <c r="X113" i="3" s="1"/>
  <c r="Y113" i="3" s="1"/>
  <c r="Z113" i="3" s="1"/>
  <c r="AA113" i="3" s="1"/>
  <c r="AB113" i="3" s="1"/>
  <c r="AC113" i="3" s="1"/>
  <c r="AD113" i="3" s="1"/>
  <c r="AE113" i="3" s="1"/>
  <c r="AF113" i="3" s="1"/>
  <c r="AG113" i="3" s="1"/>
  <c r="AH113" i="3" s="1"/>
  <c r="AI113" i="3" s="1"/>
  <c r="AJ113" i="3" s="1"/>
  <c r="AK113" i="3" s="1"/>
  <c r="AL113" i="3" s="1"/>
  <c r="AM113" i="3" s="1"/>
  <c r="AN113" i="3" s="1"/>
  <c r="AO113" i="3" s="1"/>
  <c r="AP113" i="3" s="1"/>
  <c r="AQ113" i="3" s="1"/>
  <c r="AR113" i="3" s="1"/>
  <c r="AS113" i="3" s="1"/>
  <c r="AT113" i="3" s="1"/>
  <c r="AU113" i="3" s="1"/>
  <c r="AV113" i="3" s="1"/>
  <c r="AW113" i="3" s="1"/>
  <c r="AX113" i="3" s="1"/>
  <c r="D38" i="1"/>
  <c r="C38" i="1"/>
  <c r="D32" i="1"/>
  <c r="C32" i="1"/>
  <c r="C33" i="1"/>
  <c r="C23" i="4"/>
  <c r="C24" i="4"/>
  <c r="E44" i="8" l="1"/>
  <c r="D62" i="29"/>
  <c r="D64" i="29" s="1"/>
  <c r="P13" i="11"/>
  <c r="P11" i="11" s="1"/>
  <c r="R13" i="11"/>
  <c r="R11" i="11" s="1"/>
  <c r="S12" i="11"/>
  <c r="G6" i="11"/>
  <c r="D13" i="6"/>
  <c r="D16" i="6" s="1"/>
  <c r="E6" i="14" s="1"/>
  <c r="C95" i="7"/>
  <c r="B95" i="7"/>
  <c r="D95" i="7"/>
  <c r="E95" i="7"/>
  <c r="F95" i="7"/>
  <c r="G95" i="7"/>
  <c r="H95" i="7"/>
  <c r="I95" i="7"/>
  <c r="J95" i="7"/>
  <c r="C114" i="19"/>
  <c r="B25" i="4"/>
  <c r="C25" i="4" s="1"/>
  <c r="E5" i="2" s="1"/>
  <c r="E10" i="8" s="1"/>
  <c r="D107" i="3"/>
  <c r="C39" i="1"/>
  <c r="C40" i="1" s="1"/>
  <c r="B16" i="2"/>
  <c r="B19" i="2" s="1"/>
  <c r="D106" i="3"/>
  <c r="D104" i="3"/>
  <c r="D101" i="3"/>
  <c r="D103" i="3"/>
  <c r="D110" i="3"/>
  <c r="D102" i="3"/>
  <c r="D39" i="1"/>
  <c r="D40" i="1" s="1"/>
  <c r="D105" i="3"/>
  <c r="D109" i="3"/>
  <c r="D108" i="3"/>
  <c r="B23" i="3"/>
  <c r="B37" i="3" s="1"/>
  <c r="E7" i="14"/>
  <c r="D7" i="14" s="1"/>
  <c r="D30" i="3"/>
  <c r="G30" i="3" s="1"/>
  <c r="D24" i="3"/>
  <c r="G24" i="3" s="1"/>
  <c r="D28" i="3"/>
  <c r="G28" i="3" s="1"/>
  <c r="D41" i="3"/>
  <c r="G41" i="3" s="1"/>
  <c r="D29" i="3"/>
  <c r="G29" i="3" s="1"/>
  <c r="D25" i="3"/>
  <c r="G25" i="3" s="1"/>
  <c r="D42" i="3"/>
  <c r="G42" i="3" s="1"/>
  <c r="D40" i="3"/>
  <c r="G40" i="3" s="1"/>
  <c r="D26" i="3"/>
  <c r="G26" i="3" s="1"/>
  <c r="D43" i="3"/>
  <c r="G43" i="3" s="1"/>
  <c r="D23" i="3"/>
  <c r="G23" i="3" s="1"/>
  <c r="D27" i="3"/>
  <c r="G27" i="3" s="1"/>
  <c r="D32" i="3"/>
  <c r="G32" i="3" s="1"/>
  <c r="D37" i="3"/>
  <c r="G37" i="3" s="1"/>
  <c r="J6" i="11" s="1"/>
  <c r="D45" i="3"/>
  <c r="G45" i="3" s="1"/>
  <c r="D46" i="3"/>
  <c r="G46" i="3" s="1"/>
  <c r="D31" i="3"/>
  <c r="G31" i="3" s="1"/>
  <c r="D38" i="3"/>
  <c r="G38" i="3" s="1"/>
  <c r="D44" i="3"/>
  <c r="G44" i="3" s="1"/>
  <c r="D39" i="3"/>
  <c r="G39" i="3" s="1"/>
  <c r="D52" i="29" l="1"/>
  <c r="D22" i="22"/>
  <c r="B7" i="29"/>
  <c r="F61" i="11"/>
  <c r="I61" i="11" s="1"/>
  <c r="H13" i="3"/>
  <c r="D54" i="3" s="1"/>
  <c r="H9" i="3"/>
  <c r="D50" i="3" s="1"/>
  <c r="H15" i="3"/>
  <c r="D56" i="3" s="1"/>
  <c r="H18" i="3"/>
  <c r="D59" i="3" s="1"/>
  <c r="H17" i="3"/>
  <c r="D58" i="3" s="1"/>
  <c r="H12" i="3"/>
  <c r="D53" i="3" s="1"/>
  <c r="H14" i="3"/>
  <c r="D55" i="3" s="1"/>
  <c r="H11" i="3"/>
  <c r="D52" i="3" s="1"/>
  <c r="H10" i="3"/>
  <c r="D51" i="3" s="1"/>
  <c r="H16" i="3"/>
  <c r="D57" i="3" s="1"/>
  <c r="G18" i="3"/>
  <c r="C59" i="3" s="1"/>
  <c r="G15" i="3"/>
  <c r="C56" i="3" s="1"/>
  <c r="G11" i="3"/>
  <c r="C52" i="3" s="1"/>
  <c r="G16" i="3"/>
  <c r="C57" i="3" s="1"/>
  <c r="G10" i="3"/>
  <c r="C51" i="3" s="1"/>
  <c r="G13" i="3"/>
  <c r="C54" i="3" s="1"/>
  <c r="G9" i="3"/>
  <c r="G17" i="3"/>
  <c r="C58" i="3" s="1"/>
  <c r="G12" i="3"/>
  <c r="C53" i="3" s="1"/>
  <c r="G14" i="3"/>
  <c r="C55" i="3" s="1"/>
  <c r="F60" i="11"/>
  <c r="I6" i="11"/>
  <c r="C131" i="19"/>
  <c r="C133" i="19" s="1"/>
  <c r="E8" i="14"/>
  <c r="D6" i="14"/>
  <c r="D8" i="14" s="1"/>
  <c r="S13" i="11"/>
  <c r="S11" i="11" s="1"/>
  <c r="M6" i="11"/>
  <c r="N6" i="11"/>
  <c r="D73" i="22"/>
  <c r="D72" i="22" s="1"/>
  <c r="E6" i="2"/>
  <c r="E6" i="8" s="1"/>
  <c r="E9" i="3"/>
  <c r="F9" i="3" s="1"/>
  <c r="E8" i="2"/>
  <c r="E15" i="8" s="1"/>
  <c r="E11" i="8"/>
  <c r="E12" i="8"/>
  <c r="E13" i="8"/>
  <c r="E7" i="8"/>
  <c r="D66" i="22"/>
  <c r="D110" i="22" s="1"/>
  <c r="C135" i="19"/>
  <c r="D65" i="22"/>
  <c r="D109" i="22" s="1"/>
  <c r="I54" i="11"/>
  <c r="K54" i="11" s="1"/>
  <c r="N54" i="11" s="1"/>
  <c r="I48" i="11"/>
  <c r="I49" i="11"/>
  <c r="I50" i="11"/>
  <c r="J51" i="11"/>
  <c r="J52" i="11"/>
  <c r="J47" i="11"/>
  <c r="D20" i="16"/>
  <c r="D28" i="16"/>
  <c r="I52" i="11"/>
  <c r="I51" i="11"/>
  <c r="I53" i="11"/>
  <c r="K53" i="11" s="1"/>
  <c r="N53" i="11" s="1"/>
  <c r="I46" i="11"/>
  <c r="K46" i="11" s="1"/>
  <c r="I47" i="11"/>
  <c r="L47" i="11"/>
  <c r="M47" i="11"/>
  <c r="M46" i="11"/>
  <c r="L46" i="11"/>
  <c r="B21" i="2"/>
  <c r="B20" i="2"/>
  <c r="F50" i="8"/>
  <c r="F54" i="8"/>
  <c r="F23" i="3"/>
  <c r="F37" i="3"/>
  <c r="C15" i="3"/>
  <c r="C29" i="3"/>
  <c r="C43" i="3" s="1"/>
  <c r="C18" i="3"/>
  <c r="C32" i="3"/>
  <c r="C46" i="3" s="1"/>
  <c r="C14" i="3"/>
  <c r="C28" i="3"/>
  <c r="C42" i="3" s="1"/>
  <c r="C17" i="3"/>
  <c r="C31" i="3"/>
  <c r="C45" i="3" s="1"/>
  <c r="C13" i="3"/>
  <c r="C27" i="3"/>
  <c r="C41" i="3" s="1"/>
  <c r="C10" i="3"/>
  <c r="C24" i="3"/>
  <c r="C38" i="3" s="1"/>
  <c r="C12" i="3"/>
  <c r="C26" i="3"/>
  <c r="C40" i="3" s="1"/>
  <c r="C16" i="3"/>
  <c r="C30" i="3"/>
  <c r="C44" i="3" s="1"/>
  <c r="C11" i="3"/>
  <c r="C25" i="3"/>
  <c r="C39" i="3" s="1"/>
  <c r="C42" i="1"/>
  <c r="D30" i="22" s="1"/>
  <c r="C132" i="19" l="1"/>
  <c r="E14" i="8"/>
  <c r="D53" i="29"/>
  <c r="D23" i="22"/>
  <c r="D50" i="29"/>
  <c r="B20" i="29" s="1"/>
  <c r="C15" i="19" s="1"/>
  <c r="D15" i="22"/>
  <c r="D51" i="29"/>
  <c r="D16" i="22"/>
  <c r="D65" i="29"/>
  <c r="B23" i="29" s="1"/>
  <c r="C20" i="19" s="1"/>
  <c r="D55" i="29"/>
  <c r="B41" i="29" s="1"/>
  <c r="D25" i="22"/>
  <c r="C50" i="3"/>
  <c r="K6" i="11"/>
  <c r="F62" i="11"/>
  <c r="I60" i="11"/>
  <c r="I62" i="11" s="1"/>
  <c r="K48" i="11"/>
  <c r="N48" i="11" s="1"/>
  <c r="K49" i="11"/>
  <c r="N49" i="11" s="1"/>
  <c r="R6" i="11"/>
  <c r="O6" i="11"/>
  <c r="K50" i="11"/>
  <c r="N50" i="11" s="1"/>
  <c r="Q6" i="11"/>
  <c r="P6" i="11"/>
  <c r="S19" i="11"/>
  <c r="S21" i="11" s="1"/>
  <c r="C99" i="19"/>
  <c r="D54" i="22"/>
  <c r="D58" i="22"/>
  <c r="C72" i="19"/>
  <c r="E8" i="8"/>
  <c r="D44" i="22"/>
  <c r="D43" i="22" s="1"/>
  <c r="D87" i="22"/>
  <c r="C63" i="19"/>
  <c r="D31" i="22"/>
  <c r="C32" i="19"/>
  <c r="D28" i="8"/>
  <c r="D27" i="8"/>
  <c r="C136" i="19"/>
  <c r="D64" i="22"/>
  <c r="D62" i="22" s="1"/>
  <c r="D34" i="22"/>
  <c r="D33" i="22" s="1"/>
  <c r="C126" i="19"/>
  <c r="C125" i="19"/>
  <c r="K52" i="11"/>
  <c r="K51" i="11"/>
  <c r="B50" i="3"/>
  <c r="N46" i="11"/>
  <c r="E8" i="11"/>
  <c r="E31" i="11"/>
  <c r="F31" i="11" s="1"/>
  <c r="E27" i="11"/>
  <c r="F27" i="11" s="1"/>
  <c r="E7" i="11"/>
  <c r="E12" i="11" s="1"/>
  <c r="F12" i="11" s="1"/>
  <c r="E28" i="11"/>
  <c r="F28" i="11" s="1"/>
  <c r="E32" i="11"/>
  <c r="F32" i="11" s="1"/>
  <c r="E29" i="11"/>
  <c r="F29" i="11" s="1"/>
  <c r="E33" i="11"/>
  <c r="F33" i="11" s="1"/>
  <c r="E30" i="11"/>
  <c r="F30" i="11" s="1"/>
  <c r="D19" i="16"/>
  <c r="D21" i="16" s="1"/>
  <c r="D27" i="16"/>
  <c r="D29" i="16" s="1"/>
  <c r="K47" i="11"/>
  <c r="D24" i="8"/>
  <c r="D29" i="8"/>
  <c r="D59" i="29" s="1"/>
  <c r="D26" i="8"/>
  <c r="E14" i="3"/>
  <c r="F14" i="3" s="1"/>
  <c r="B28" i="3"/>
  <c r="E17" i="3"/>
  <c r="F17" i="3" s="1"/>
  <c r="B31" i="3"/>
  <c r="E10" i="3"/>
  <c r="F10" i="3" s="1"/>
  <c r="B24" i="3"/>
  <c r="E16" i="3"/>
  <c r="F16" i="3" s="1"/>
  <c r="B30" i="3"/>
  <c r="E12" i="3"/>
  <c r="F12" i="3" s="1"/>
  <c r="B26" i="3"/>
  <c r="E18" i="3"/>
  <c r="F18" i="3" s="1"/>
  <c r="B32" i="3"/>
  <c r="E15" i="3"/>
  <c r="F15" i="3" s="1"/>
  <c r="B29" i="3"/>
  <c r="E11" i="3"/>
  <c r="F11" i="3" s="1"/>
  <c r="B25" i="3"/>
  <c r="E13" i="3"/>
  <c r="F13" i="3" s="1"/>
  <c r="B27" i="3"/>
  <c r="C21" i="19" l="1"/>
  <c r="C101" i="19"/>
  <c r="C116" i="19"/>
  <c r="E16" i="8"/>
  <c r="E17" i="8" s="1"/>
  <c r="D14" i="22"/>
  <c r="D13" i="22" s="1"/>
  <c r="D24" i="22"/>
  <c r="D54" i="29"/>
  <c r="D21" i="22"/>
  <c r="D57" i="29"/>
  <c r="D17" i="22"/>
  <c r="C45" i="19" s="1"/>
  <c r="B39" i="29"/>
  <c r="C25" i="19" s="1"/>
  <c r="C31" i="19" s="1"/>
  <c r="D56" i="29"/>
  <c r="C39" i="19"/>
  <c r="D27" i="22"/>
  <c r="D30" i="8"/>
  <c r="D58" i="29"/>
  <c r="B21" i="29" s="1"/>
  <c r="B40" i="29"/>
  <c r="B22" i="29"/>
  <c r="S6" i="11"/>
  <c r="N51" i="11"/>
  <c r="N47" i="11"/>
  <c r="N52" i="11"/>
  <c r="G28" i="11"/>
  <c r="H28" i="11"/>
  <c r="J28" i="11"/>
  <c r="I28" i="11"/>
  <c r="G33" i="11"/>
  <c r="I33" i="11"/>
  <c r="H33" i="11"/>
  <c r="J33" i="11"/>
  <c r="G29" i="11"/>
  <c r="I29" i="11"/>
  <c r="H29" i="11"/>
  <c r="J29" i="11"/>
  <c r="G30" i="11"/>
  <c r="I30" i="11"/>
  <c r="H30" i="11"/>
  <c r="J30" i="11"/>
  <c r="G27" i="11"/>
  <c r="J27" i="11"/>
  <c r="I27" i="11"/>
  <c r="H27" i="11"/>
  <c r="F34" i="11"/>
  <c r="G32" i="11"/>
  <c r="J32" i="11"/>
  <c r="I32" i="11"/>
  <c r="H32" i="11"/>
  <c r="G31" i="11"/>
  <c r="J31" i="11"/>
  <c r="I31" i="11"/>
  <c r="H31" i="11"/>
  <c r="F8" i="11"/>
  <c r="I8" i="11" s="1"/>
  <c r="E13" i="11"/>
  <c r="F13" i="11" s="1"/>
  <c r="G13" i="11" s="1"/>
  <c r="G12" i="11"/>
  <c r="F7" i="11"/>
  <c r="D88" i="22"/>
  <c r="D86" i="22" s="1"/>
  <c r="D82" i="22"/>
  <c r="C65" i="19"/>
  <c r="C67" i="19" s="1"/>
  <c r="D90" i="22"/>
  <c r="D40" i="22"/>
  <c r="C73" i="19"/>
  <c r="D29" i="22"/>
  <c r="D28" i="22"/>
  <c r="D108" i="22"/>
  <c r="D105" i="22" s="1"/>
  <c r="D32" i="8"/>
  <c r="F29" i="3"/>
  <c r="B43" i="3"/>
  <c r="F43" i="3" s="1"/>
  <c r="F24" i="3"/>
  <c r="B38" i="3"/>
  <c r="F38" i="3" s="1"/>
  <c r="F32" i="3"/>
  <c r="B46" i="3"/>
  <c r="F46" i="3" s="1"/>
  <c r="F31" i="3"/>
  <c r="B45" i="3"/>
  <c r="F45" i="3" s="1"/>
  <c r="F25" i="3"/>
  <c r="B39" i="3"/>
  <c r="F39" i="3" s="1"/>
  <c r="F27" i="3"/>
  <c r="B41" i="3"/>
  <c r="F41" i="3" s="1"/>
  <c r="F26" i="3"/>
  <c r="B40" i="3"/>
  <c r="F40" i="3" s="1"/>
  <c r="F28" i="3"/>
  <c r="B42" i="3"/>
  <c r="F42" i="3" s="1"/>
  <c r="F30" i="3"/>
  <c r="B44" i="3"/>
  <c r="F44" i="3" s="1"/>
  <c r="D37" i="22" l="1"/>
  <c r="C41" i="19"/>
  <c r="C57" i="19"/>
  <c r="E19" i="8"/>
  <c r="C47" i="19"/>
  <c r="C46" i="19"/>
  <c r="B5" i="29"/>
  <c r="C40" i="19"/>
  <c r="D60" i="29"/>
  <c r="D66" i="29" s="1"/>
  <c r="B34" i="29"/>
  <c r="C20" i="29" s="1"/>
  <c r="D83" i="22"/>
  <c r="N55" i="11"/>
  <c r="D102" i="22" s="1"/>
  <c r="J8" i="11"/>
  <c r="K30" i="11"/>
  <c r="K33" i="11"/>
  <c r="L32" i="11"/>
  <c r="P32" i="11" s="1"/>
  <c r="M32" i="11"/>
  <c r="Q32" i="11" s="1"/>
  <c r="N32" i="11"/>
  <c r="R32" i="11" s="1"/>
  <c r="K31" i="11"/>
  <c r="M30" i="11"/>
  <c r="Q30" i="11" s="1"/>
  <c r="L30" i="11"/>
  <c r="P30" i="11" s="1"/>
  <c r="N30" i="11"/>
  <c r="R30" i="11" s="1"/>
  <c r="M33" i="11"/>
  <c r="Q33" i="11" s="1"/>
  <c r="N33" i="11"/>
  <c r="R33" i="11" s="1"/>
  <c r="L33" i="11"/>
  <c r="P33" i="11" s="1"/>
  <c r="G8" i="11"/>
  <c r="N8" i="11" s="1"/>
  <c r="H34" i="11"/>
  <c r="K27" i="11"/>
  <c r="I34" i="11"/>
  <c r="K29" i="11"/>
  <c r="L31" i="11"/>
  <c r="P31" i="11" s="1"/>
  <c r="N31" i="11"/>
  <c r="R31" i="11" s="1"/>
  <c r="M31" i="11"/>
  <c r="Q31" i="11" s="1"/>
  <c r="J34" i="11"/>
  <c r="K28" i="11"/>
  <c r="F11" i="11"/>
  <c r="K32" i="11"/>
  <c r="N27" i="11"/>
  <c r="L27" i="11"/>
  <c r="M27" i="11"/>
  <c r="G34" i="11"/>
  <c r="M29" i="11"/>
  <c r="Q29" i="11" s="1"/>
  <c r="N29" i="11"/>
  <c r="R29" i="11" s="1"/>
  <c r="L29" i="11"/>
  <c r="P29" i="11" s="1"/>
  <c r="M28" i="11"/>
  <c r="Q28" i="11" s="1"/>
  <c r="N28" i="11"/>
  <c r="R28" i="11" s="1"/>
  <c r="L28" i="11"/>
  <c r="P28" i="11" s="1"/>
  <c r="G7" i="11"/>
  <c r="J7" i="11"/>
  <c r="I7" i="11"/>
  <c r="I9" i="11" s="1"/>
  <c r="F9" i="11"/>
  <c r="D81" i="22"/>
  <c r="D26" i="22"/>
  <c r="D38" i="22" s="1"/>
  <c r="C76" i="19"/>
  <c r="C88" i="19" s="1"/>
  <c r="D92" i="22"/>
  <c r="C121" i="19"/>
  <c r="D91" i="22"/>
  <c r="D97" i="22" s="1"/>
  <c r="D41" i="22"/>
  <c r="B51" i="3"/>
  <c r="B59" i="3"/>
  <c r="B52" i="3"/>
  <c r="B57" i="3"/>
  <c r="B56" i="3"/>
  <c r="B53" i="3"/>
  <c r="B58" i="3"/>
  <c r="B54" i="3"/>
  <c r="B55" i="3"/>
  <c r="C22" i="29" l="1"/>
  <c r="C21" i="29"/>
  <c r="B12" i="29"/>
  <c r="C10" i="19" s="1"/>
  <c r="C92" i="29"/>
  <c r="C23" i="29"/>
  <c r="C27" i="29"/>
  <c r="C25" i="29"/>
  <c r="C30" i="29"/>
  <c r="C33" i="29"/>
  <c r="C24" i="29"/>
  <c r="C31" i="29"/>
  <c r="C29" i="29"/>
  <c r="C28" i="29"/>
  <c r="C32" i="29"/>
  <c r="C26" i="29"/>
  <c r="B6" i="29"/>
  <c r="B8" i="29" s="1"/>
  <c r="C7" i="29" s="1"/>
  <c r="B38" i="29"/>
  <c r="K8" i="11"/>
  <c r="R8" i="11"/>
  <c r="J9" i="11"/>
  <c r="H9" i="11"/>
  <c r="E11" i="11"/>
  <c r="J11" i="11" s="1"/>
  <c r="P8" i="11"/>
  <c r="M8" i="11"/>
  <c r="Q8" i="11" s="1"/>
  <c r="G11" i="11"/>
  <c r="O28" i="11"/>
  <c r="S28" i="11" s="1"/>
  <c r="O27" i="11"/>
  <c r="S27" i="11" s="1"/>
  <c r="L34" i="11"/>
  <c r="O30" i="11"/>
  <c r="S30" i="11" s="1"/>
  <c r="O32" i="11"/>
  <c r="S32" i="11" s="1"/>
  <c r="M34" i="11"/>
  <c r="N34" i="11"/>
  <c r="P27" i="11"/>
  <c r="P34" i="11" s="1"/>
  <c r="K34" i="11"/>
  <c r="R27" i="11"/>
  <c r="R34" i="11" s="1"/>
  <c r="O29" i="11"/>
  <c r="S29" i="11" s="1"/>
  <c r="O31" i="11"/>
  <c r="S31" i="11" s="1"/>
  <c r="Q27" i="11"/>
  <c r="Q34" i="11" s="1"/>
  <c r="O33" i="11"/>
  <c r="S33" i="11" s="1"/>
  <c r="K7" i="11"/>
  <c r="K9" i="11" s="1"/>
  <c r="N7" i="11"/>
  <c r="M7" i="11"/>
  <c r="G9" i="11"/>
  <c r="D20" i="22"/>
  <c r="D12" i="22" s="1"/>
  <c r="C77" i="19"/>
  <c r="C89" i="19"/>
  <c r="C59" i="19"/>
  <c r="C58" i="19"/>
  <c r="D89" i="22"/>
  <c r="D85" i="22" s="1"/>
  <c r="D80" i="22" s="1"/>
  <c r="D96" i="22"/>
  <c r="C122" i="19"/>
  <c r="C123" i="19"/>
  <c r="C34" i="29" l="1"/>
  <c r="C5" i="29"/>
  <c r="B46" i="29"/>
  <c r="C38" i="29" s="1"/>
  <c r="B16" i="29"/>
  <c r="C12" i="29" s="1"/>
  <c r="C6" i="29"/>
  <c r="P7" i="11"/>
  <c r="L9" i="11"/>
  <c r="R7" i="11"/>
  <c r="N9" i="11"/>
  <c r="I11" i="11"/>
  <c r="N11" i="11"/>
  <c r="Q7" i="11"/>
  <c r="M9" i="11"/>
  <c r="K11" i="11"/>
  <c r="O11" i="11" s="1"/>
  <c r="H11" i="11"/>
  <c r="O8" i="11"/>
  <c r="S8" i="11" s="1"/>
  <c r="S34" i="11"/>
  <c r="O34" i="11"/>
  <c r="O7" i="11"/>
  <c r="D103" i="22"/>
  <c r="C8" i="29" l="1"/>
  <c r="C15" i="29"/>
  <c r="C13" i="29"/>
  <c r="C14" i="29"/>
  <c r="C40" i="29"/>
  <c r="C43" i="29"/>
  <c r="C44" i="29"/>
  <c r="C42" i="29"/>
  <c r="C45" i="29"/>
  <c r="C41" i="29"/>
  <c r="C39" i="29"/>
  <c r="M11" i="11"/>
  <c r="L11" i="11"/>
  <c r="O9" i="11"/>
  <c r="S7" i="11"/>
  <c r="C111" i="19"/>
  <c r="C93" i="19"/>
  <c r="C98" i="19"/>
  <c r="C94" i="19"/>
  <c r="D48" i="22"/>
  <c r="D47" i="22" s="1"/>
  <c r="D46" i="22" s="1"/>
  <c r="D101" i="22"/>
  <c r="C102" i="19"/>
  <c r="U8" i="21"/>
  <c r="T8" i="21"/>
  <c r="S8" i="21"/>
  <c r="R8" i="21"/>
  <c r="Q8" i="21"/>
  <c r="P8" i="21"/>
  <c r="O8" i="21"/>
  <c r="N8" i="21"/>
  <c r="M8" i="21"/>
  <c r="L8" i="21"/>
  <c r="K8" i="21"/>
  <c r="J8" i="21"/>
  <c r="I8" i="21"/>
  <c r="H8" i="21"/>
  <c r="G8" i="21"/>
  <c r="F8" i="21"/>
  <c r="E8" i="21"/>
  <c r="D8" i="21"/>
  <c r="C8" i="21"/>
  <c r="U7" i="21"/>
  <c r="T7" i="21"/>
  <c r="S7" i="21"/>
  <c r="R7" i="21"/>
  <c r="Q7" i="21"/>
  <c r="P7" i="21"/>
  <c r="O7" i="21"/>
  <c r="N7" i="21"/>
  <c r="M7" i="21"/>
  <c r="L7" i="21"/>
  <c r="K7" i="21"/>
  <c r="J7" i="21"/>
  <c r="I7" i="21"/>
  <c r="H7" i="21"/>
  <c r="G7" i="21"/>
  <c r="F7" i="21"/>
  <c r="E7" i="21"/>
  <c r="D7" i="21"/>
  <c r="C7" i="21"/>
  <c r="C16" i="29" l="1"/>
  <c r="C46" i="29"/>
  <c r="S9" i="11"/>
  <c r="S15" i="11" s="1"/>
  <c r="S18" i="11"/>
  <c r="D99" i="22"/>
  <c r="D78" i="22" s="1"/>
  <c r="D100" i="22"/>
  <c r="D10" i="22"/>
  <c r="C104" i="19"/>
  <c r="C103" i="19"/>
  <c r="C108" i="19"/>
  <c r="S20" i="11" l="1"/>
  <c r="S22" i="11" s="1"/>
  <c r="C9" i="19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Thea Yagerlener</author>
  </authors>
  <commentList>
    <comment ref="A51" authorId="0" shapeId="0" xr:uid="{15B5FB8F-FD0E-4A4E-A300-5D79294163E7}">
      <text>
        <r>
          <rPr>
            <b/>
            <sz val="9"/>
            <color indexed="81"/>
            <rFont val="Tahoma"/>
            <family val="2"/>
          </rPr>
          <t>Thea Yagerlener:</t>
        </r>
        <r>
          <rPr>
            <sz val="9"/>
            <color indexed="81"/>
            <rFont val="Tahoma"/>
            <family val="2"/>
          </rPr>
          <t xml:space="preserve">
Becomes inactive</t>
        </r>
      </text>
    </comment>
  </commentList>
</comments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7C28E35F-81D8-4E1D-B396-2F566D0FAD55}" keepAlive="1" name="Query - Historic CPI_BLS" description="Connection to the 'Historic CPI_BLS' query in the workbook." type="5" refreshedVersion="6" background="1" saveData="1">
    <dbPr connection="Provider=Microsoft.Mashup.OleDb.1;Data Source=$Workbook$;Location=Historic CPI_BLS;Extended Properties=&quot;&quot;" command="SELECT * FROM [Historic CPI_BLS]"/>
  </connection>
  <connection id="2" xr16:uid="{CB13AA78-98E3-4BD7-B3A3-4712E422831D}" keepAlive="1" name="Query - Historic CPI_BLS (2)" description="Connection to the 'Historic CPI_BLS (2)' query in the workbook." type="5" refreshedVersion="6" background="1" saveData="1">
    <dbPr connection="Provider=Microsoft.Mashup.OleDb.1;Data Source=$Workbook$;Location=Historic CPI_BLS (2);Extended Properties=&quot;&quot;" command="SELECT * FROM [Historic CPI_BLS (2)]"/>
  </connection>
</connections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<sst xmlns="http://schemas.openxmlformats.org/spreadsheetml/2006/main" count="2611" uniqueCount="1378">
  <si>
    <t>Instructions</t>
  </si>
  <si>
    <t>Tracking Metrics</t>
  </si>
  <si>
    <t>Population</t>
  </si>
  <si>
    <t>Households</t>
  </si>
  <si>
    <t>Emissions</t>
  </si>
  <si>
    <t>MT CO2e</t>
  </si>
  <si>
    <t>Emissions per Resident</t>
  </si>
  <si>
    <t>MT CO2e/household</t>
  </si>
  <si>
    <t>mmBtu</t>
  </si>
  <si>
    <t>Natural gas</t>
  </si>
  <si>
    <t>Propane</t>
  </si>
  <si>
    <t>Total Energy Use</t>
  </si>
  <si>
    <t>Cooling Degree Days</t>
  </si>
  <si>
    <t>VMT</t>
  </si>
  <si>
    <t>MT CO2e/VMT</t>
  </si>
  <si>
    <t>Residential Waste</t>
  </si>
  <si>
    <t>tons</t>
  </si>
  <si>
    <t>tons/household</t>
  </si>
  <si>
    <t>Emissions per ton disposed</t>
  </si>
  <si>
    <t>MT CO2e/ton</t>
  </si>
  <si>
    <t>Emissions Summary</t>
  </si>
  <si>
    <t>Emissions Type</t>
  </si>
  <si>
    <t>Scope</t>
  </si>
  <si>
    <t>Amount</t>
  </si>
  <si>
    <t>Unit</t>
  </si>
  <si>
    <t>kWh</t>
  </si>
  <si>
    <t>Emissions from Stationary Fuel Combustion</t>
  </si>
  <si>
    <t>Fuel Type</t>
  </si>
  <si>
    <t>Natural Gas</t>
  </si>
  <si>
    <t>scf</t>
  </si>
  <si>
    <t>Data Source</t>
  </si>
  <si>
    <t>B</t>
  </si>
  <si>
    <t>C</t>
  </si>
  <si>
    <t>In-Boundary</t>
  </si>
  <si>
    <t>Passenger</t>
  </si>
  <si>
    <t>Gasoline</t>
  </si>
  <si>
    <t>Diesel</t>
  </si>
  <si>
    <t>AAATA</t>
  </si>
  <si>
    <t>Biodiesel</t>
  </si>
  <si>
    <t>Vehicle Type</t>
  </si>
  <si>
    <t>Transit Bus</t>
  </si>
  <si>
    <t>UM</t>
  </si>
  <si>
    <t>Ethanol</t>
  </si>
  <si>
    <t>%</t>
  </si>
  <si>
    <t>Gal</t>
  </si>
  <si>
    <t>D</t>
  </si>
  <si>
    <t>Solid Waste</t>
  </si>
  <si>
    <t>Tons</t>
  </si>
  <si>
    <t>Process Emissions</t>
  </si>
  <si>
    <t>wet short tons</t>
  </si>
  <si>
    <t>E</t>
  </si>
  <si>
    <t>Inboundary</t>
  </si>
  <si>
    <t>Yes</t>
  </si>
  <si>
    <t>G</t>
  </si>
  <si>
    <t>MMBtu</t>
  </si>
  <si>
    <t>MT CO2</t>
  </si>
  <si>
    <t>Electricity Use</t>
  </si>
  <si>
    <t>Grid Loss Factor</t>
  </si>
  <si>
    <t>Residential</t>
  </si>
  <si>
    <t>Commercial</t>
  </si>
  <si>
    <t>General Data Set</t>
  </si>
  <si>
    <t>Year</t>
  </si>
  <si>
    <t>City of Ann Arbor</t>
  </si>
  <si>
    <t>Washtenaw County</t>
  </si>
  <si>
    <t>State of Michigan</t>
  </si>
  <si>
    <t>City:County Scaling Factor</t>
  </si>
  <si>
    <t>City:State Scaling Factor</t>
  </si>
  <si>
    <t>Source:</t>
  </si>
  <si>
    <t>US Census</t>
  </si>
  <si>
    <t>Climate Data</t>
  </si>
  <si>
    <t>Heating Degree Days (65 F)</t>
  </si>
  <si>
    <t>Cooling Degree Days (65 F)</t>
  </si>
  <si>
    <t>NOAA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</si>
  <si>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</si>
  <si>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</si>
  <si>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</si>
  <si>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</si>
  <si>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</si>
  <si>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</si>
  <si>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</si>
  <si>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</si>
  <si>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</si>
  <si>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</si>
  <si>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</si>
  <si>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</si>
  <si>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</t>
  </si>
  <si>
    <t>M</t>
  </si>
  <si>
    <t>Stationary Fuel Factor Set</t>
  </si>
  <si>
    <t>Stationary Combustion Emission Factors</t>
  </si>
  <si>
    <t>kg CO2 per scf</t>
  </si>
  <si>
    <t>g CH4 per scf</t>
  </si>
  <si>
    <t>g N2O per scf</t>
  </si>
  <si>
    <t>MT CO2e/CCF</t>
  </si>
  <si>
    <t>Propane Gas</t>
  </si>
  <si>
    <t>Upstream Stationary Combustion Emission Factors</t>
  </si>
  <si>
    <t>Natural Gas Fugitive Emission Rate (Total)</t>
  </si>
  <si>
    <t>USDN Natural Gas Report</t>
  </si>
  <si>
    <t>Natural Gas Fugitive Emission Rate (Local)</t>
  </si>
  <si>
    <t>DTE Report</t>
  </si>
  <si>
    <t>Natural Gas Density</t>
  </si>
  <si>
    <t>kg/m3</t>
  </si>
  <si>
    <t>MT/CCF</t>
  </si>
  <si>
    <t>Natural Gas CO2 Mass Fraction</t>
  </si>
  <si>
    <t>Natural Gas CH4 Mass Fraction</t>
  </si>
  <si>
    <t>Fugitive Natural Gas Emission Factor</t>
  </si>
  <si>
    <t>Fugitive Natural Gas Emission Factor (Total)</t>
  </si>
  <si>
    <t>Fugitive Natural Gas Emission Factor (Local)</t>
  </si>
  <si>
    <t>Propane Upstream Emissions</t>
  </si>
  <si>
    <t>kg/L</t>
  </si>
  <si>
    <t>ICLEI US Community Protocol</t>
  </si>
  <si>
    <t>Grid Energy Factor Set</t>
  </si>
  <si>
    <t>Fuel Mix Year:</t>
  </si>
  <si>
    <t>DTE Fuel Mix</t>
  </si>
  <si>
    <t>ID Fossil Fuels</t>
  </si>
  <si>
    <t>Fuel Source</t>
  </si>
  <si>
    <t>DTE Energy's Fuel Mix Used to Supply Electricity</t>
  </si>
  <si>
    <t>Regional Average Fuel Mix Used to Generate Electricity (MI, IL, IN, OH and WI)</t>
  </si>
  <si>
    <t>Fossil Fuel</t>
  </si>
  <si>
    <t>Coal</t>
  </si>
  <si>
    <t>Nuclear</t>
  </si>
  <si>
    <t>Gas</t>
  </si>
  <si>
    <t>Oil</t>
  </si>
  <si>
    <t>Hydroelectric</t>
  </si>
  <si>
    <t>Renewable Fuels Total</t>
  </si>
  <si>
    <t>Biofuel</t>
  </si>
  <si>
    <t>Biomass</t>
  </si>
  <si>
    <t>Solid Waste Incineration</t>
  </si>
  <si>
    <t>Solar</t>
  </si>
  <si>
    <t>Wind</t>
  </si>
  <si>
    <t>Wood</t>
  </si>
  <si>
    <t>Fossil Plant Emissions</t>
  </si>
  <si>
    <t>ID CO2</t>
  </si>
  <si>
    <t>Fossil Plant Emission or Nuclear Plant Waste in Pounds per MWh</t>
  </si>
  <si>
    <t>DTE Energy Average per Megawatt-Hour (MWh)</t>
  </si>
  <si>
    <t>Regional Average (per MWh) for Fossil/Nuclear Generation (MI, IL, IN, OH, and WI)</t>
  </si>
  <si>
    <t>Sulfur Dioxide</t>
  </si>
  <si>
    <t>CO2</t>
  </si>
  <si>
    <t>Carbon Dioxide</t>
  </si>
  <si>
    <t>Nitrogen Oxides</t>
  </si>
  <si>
    <t>High-Level Nuclear Waste</t>
  </si>
  <si>
    <t>Fuel Mix Summary</t>
  </si>
  <si>
    <t>DTE</t>
  </si>
  <si>
    <t>Regional Average</t>
  </si>
  <si>
    <t>Portion Fossil Fuel</t>
  </si>
  <si>
    <t>DTE Purchased Electricity</t>
  </si>
  <si>
    <t>Regional</t>
  </si>
  <si>
    <t>lb/MWh</t>
  </si>
  <si>
    <t>CO2, weighted for fossil fuel</t>
  </si>
  <si>
    <t>CO2, weighted for Ann Arbor</t>
  </si>
  <si>
    <t>Grid Electricity Emissions Factor</t>
  </si>
  <si>
    <t>MT CO2e/kWh</t>
  </si>
  <si>
    <t>Transportation Factor Set</t>
  </si>
  <si>
    <t>CO2 Emissions Factors</t>
  </si>
  <si>
    <t>MPG</t>
  </si>
  <si>
    <t>Share Gasoline</t>
  </si>
  <si>
    <t>Share Diesel</t>
  </si>
  <si>
    <t>MT/gal</t>
  </si>
  <si>
    <t>MT/mile</t>
  </si>
  <si>
    <t>Motorcycle</t>
  </si>
  <si>
    <t>Passenger Car</t>
  </si>
  <si>
    <t>Passenger Truck</t>
  </si>
  <si>
    <t>Light Commercial Truck</t>
  </si>
  <si>
    <t>Refuse Truck</t>
  </si>
  <si>
    <t>Single Short-Haul Truck</t>
  </si>
  <si>
    <t>Single Long-Haul Truck</t>
  </si>
  <si>
    <t>Mobile Home</t>
  </si>
  <si>
    <t>Comb. Short-Haul Truck</t>
  </si>
  <si>
    <t>Comb. Long-Haul Truck</t>
  </si>
  <si>
    <t>CH4 Emissions Factors</t>
  </si>
  <si>
    <t>Combined</t>
  </si>
  <si>
    <t>g/mile</t>
  </si>
  <si>
    <t>N2O Emission Factors</t>
  </si>
  <si>
    <t>CO2e Emission Factors</t>
  </si>
  <si>
    <t>MT CO2e/mile</t>
  </si>
  <si>
    <t>Miles per Gallon</t>
  </si>
  <si>
    <t>Light Duty Vehicles 2</t>
  </si>
  <si>
    <t>Motorcycles 3</t>
  </si>
  <si>
    <t>Buses 4</t>
  </si>
  <si>
    <t>Light Duty Vehicles Long WB 5</t>
  </si>
  <si>
    <t>Single-Unit Trucks 6</t>
  </si>
  <si>
    <t>Combination Trucks 7</t>
  </si>
  <si>
    <t>All Light Duty Vehicles 8</t>
  </si>
  <si>
    <t>Single-Unit 2-Axle 6-Tire or More and Combination Trucks 9</t>
  </si>
  <si>
    <t>All Motor Vehicles 10</t>
  </si>
  <si>
    <t>Refuse Truck 11</t>
  </si>
  <si>
    <t>FHA Highway Statistics Table VM-1</t>
  </si>
  <si>
    <t>Diesel Vehicles</t>
  </si>
  <si>
    <t>Light Duty Vehicles</t>
  </si>
  <si>
    <t>Class 1</t>
  </si>
  <si>
    <t>Class 2</t>
  </si>
  <si>
    <t>Class 3 Trucks</t>
  </si>
  <si>
    <t>Class 4 Trucks</t>
  </si>
  <si>
    <t>Class 5 Trucks</t>
  </si>
  <si>
    <t>Class 6 Trucks</t>
  </si>
  <si>
    <t>Class 7 Trucks</t>
  </si>
  <si>
    <t>Class 8 Trucks</t>
  </si>
  <si>
    <t>Total Trucks</t>
  </si>
  <si>
    <t>ORNL Transportation Energy Data Book (Edition 38)</t>
  </si>
  <si>
    <t>Average Age of Vehicles</t>
  </si>
  <si>
    <t>Passenger Cars</t>
  </si>
  <si>
    <t>U</t>
  </si>
  <si>
    <t>Light Trucks</t>
  </si>
  <si>
    <t>All Light Vehicles</t>
  </si>
  <si>
    <t xml:space="preserve">BTS Average Age of Automobiles and Trucks in Operation in the United States </t>
  </si>
  <si>
    <t>Mobile Combustion CO2</t>
  </si>
  <si>
    <t>kg CO2/</t>
  </si>
  <si>
    <t>unit</t>
  </si>
  <si>
    <t>MT CO2/gal</t>
  </si>
  <si>
    <t>Aviation Gasoline</t>
  </si>
  <si>
    <t>gallon</t>
  </si>
  <si>
    <t>Biodiesel (100%)</t>
  </si>
  <si>
    <t>Compressed Natural Gas (CNG)</t>
  </si>
  <si>
    <t>Diesel Fuel</t>
  </si>
  <si>
    <t>Ethanol (100%)</t>
  </si>
  <si>
    <t>Kerosene-Type Jet Fuel</t>
  </si>
  <si>
    <t>Liquefied Natural Gas (LNG)</t>
  </si>
  <si>
    <t>Liquefied Petroleum Gases (LPG)</t>
  </si>
  <si>
    <t>Motor Gasoline</t>
  </si>
  <si>
    <t>Residual Fuel Oil</t>
  </si>
  <si>
    <t>Mobile Combustion CH4 and N2O for On-Road Gasoline Vehicles</t>
  </si>
  <si>
    <t>Gasoline Passenger Cars</t>
  </si>
  <si>
    <t>CH4</t>
  </si>
  <si>
    <t>N2O</t>
  </si>
  <si>
    <t>Gasoline Light-Duty Trucks</t>
  </si>
  <si>
    <t>Gasoline Heavy-Duty Vehicles</t>
  </si>
  <si>
    <t>Gasoline Motorcycles</t>
  </si>
  <si>
    <t>Mobile Combustion CH4 and N2O for In-Road Diesel and Alternative Fuel Vehicles</t>
  </si>
  <si>
    <t>Diesel Passenger Cars</t>
  </si>
  <si>
    <t>Diesel Light-Duty Trucks</t>
  </si>
  <si>
    <t>Diesel Medium- and Heavy-Duty Vehicles</t>
  </si>
  <si>
    <t>Mobile Combustion CH4 and N2O for Non-Road Vehicles</t>
  </si>
  <si>
    <t>g/gallon</t>
  </si>
  <si>
    <t>Residual Fuel Oil Ships and Boats</t>
  </si>
  <si>
    <t>Gasoline Ships and Boats</t>
  </si>
  <si>
    <t>Diesel Ships and Boats</t>
  </si>
  <si>
    <t>Diesel Locomotives</t>
  </si>
  <si>
    <t>Gasoline Agricultural Equip.</t>
  </si>
  <si>
    <t>Diesel Agricultural Equip.</t>
  </si>
  <si>
    <t>Gasoline Construction Equip.</t>
  </si>
  <si>
    <t>Diesel Construction Equip.</t>
  </si>
  <si>
    <t>Jet Fuel Aircraft</t>
  </si>
  <si>
    <t>Aviation Gasoline Aircraft</t>
  </si>
  <si>
    <t>Other Gasoline Non-Road Vehicles</t>
  </si>
  <si>
    <t>Other Diesel Non-Road Vehicles</t>
  </si>
  <si>
    <t>LPG Non-Road Vehicles</t>
  </si>
  <si>
    <t>Biodiesel Non-Road Vehicles</t>
  </si>
  <si>
    <t>Business Travel and Employee Commuting</t>
  </si>
  <si>
    <t>CO2 Factor 
(kg / unit)</t>
  </si>
  <si>
    <t>CH4 Factor 
(g / unit)</t>
  </si>
  <si>
    <t>N2O Factor 
(g / unit)</t>
  </si>
  <si>
    <t>Units</t>
  </si>
  <si>
    <t>kg/unit</t>
  </si>
  <si>
    <t>g/unit</t>
  </si>
  <si>
    <t>Passenger Car A</t>
  </si>
  <si>
    <t>vehicle-mile</t>
  </si>
  <si>
    <t>Light-Duty Truck B</t>
  </si>
  <si>
    <t>Intercity Rail (i.e. Amtrak) C</t>
  </si>
  <si>
    <t>passenger-mile</t>
  </si>
  <si>
    <t>Commuter Rail D</t>
  </si>
  <si>
    <t>Transit Rail (i.e. Subway, Tram) E</t>
  </si>
  <si>
    <t>Bus</t>
  </si>
  <si>
    <t xml:space="preserve">Air Travel - Short Haul (&lt; 300 miles) </t>
  </si>
  <si>
    <t xml:space="preserve">Air Travel - Medium Haul (&gt;= 300 miles, 
&lt; 2300 miles) </t>
  </si>
  <si>
    <t xml:space="preserve">Air Travel - Long Haul (&gt;= 2300 miles) </t>
  </si>
  <si>
    <t>Medium- and Heavy-Duty Truck</t>
  </si>
  <si>
    <t>Medium- and Heavy-Duty TruckC</t>
  </si>
  <si>
    <t>ton-mile</t>
  </si>
  <si>
    <t>Rail</t>
  </si>
  <si>
    <t>Waterborne Craft</t>
  </si>
  <si>
    <t>Aircraft</t>
  </si>
  <si>
    <t>Scaling Factors for Full Cycle Emissions</t>
  </si>
  <si>
    <t>Fuel cycle to operating CO2</t>
  </si>
  <si>
    <t>Fuel cycle to operating CO2e</t>
  </si>
  <si>
    <t>Gasoline - conventional and reformulated</t>
  </si>
  <si>
    <t>Gasoline - Low level (~10%) corn ethanol blend</t>
  </si>
  <si>
    <t>Ethanol - Flex-Fuel Vehicle on E85 from Corn</t>
  </si>
  <si>
    <t>Diesel - Conventional and Low sulfur</t>
  </si>
  <si>
    <t>Biodiesel - soy-based B20</t>
  </si>
  <si>
    <t>CNG - Dedicated</t>
  </si>
  <si>
    <t>Electricity</t>
  </si>
  <si>
    <t>CH4 and N2O Emissions for Diesel Medium and Heavy-Duty Vehicles (Trucks and Buses)</t>
  </si>
  <si>
    <t>Buses</t>
  </si>
  <si>
    <t>Carbon Registry Emission Factors</t>
  </si>
  <si>
    <t>Solid Waste Factor Set</t>
  </si>
  <si>
    <t>Waste Characterization</t>
  </si>
  <si>
    <t>Update fraction of waste characterization as available. Data from 2016</t>
  </si>
  <si>
    <t>Waste Composition</t>
  </si>
  <si>
    <t>Factor</t>
  </si>
  <si>
    <t>Fraction</t>
  </si>
  <si>
    <t>Product</t>
  </si>
  <si>
    <t>mt CH4/wet short ton waste</t>
  </si>
  <si>
    <t>Newspaper</t>
  </si>
  <si>
    <t>Office Paper</t>
  </si>
  <si>
    <t>Corrugated Containers</t>
  </si>
  <si>
    <t>Magazines</t>
  </si>
  <si>
    <t>Food Scraps</t>
  </si>
  <si>
    <t>Grass*</t>
  </si>
  <si>
    <t>Leaves*</t>
  </si>
  <si>
    <t>Branches</t>
  </si>
  <si>
    <t>Dimensional Lumber</t>
  </si>
  <si>
    <t>*Average of grass and leaves emission factor applied to "Yard Waste"</t>
  </si>
  <si>
    <t>Factor Source</t>
  </si>
  <si>
    <t>ICLEI Appendix E Table SW.5</t>
  </si>
  <si>
    <t>Fraction Source</t>
  </si>
  <si>
    <t>Michigan Economic Impact Potential and Characterization of Municipal Solid Waste in Michigan (2016)</t>
  </si>
  <si>
    <t>Landfill Characterization</t>
  </si>
  <si>
    <t>Instructions:</t>
  </si>
  <si>
    <t>CE Factor</t>
  </si>
  <si>
    <t>Emissions Factor for Landfill Process Emissions</t>
  </si>
  <si>
    <t>MT CO2e/wet short ton</t>
  </si>
  <si>
    <t>CNG</t>
  </si>
  <si>
    <t>Wastewater Factor Set</t>
  </si>
  <si>
    <t>Process Emission Factors</t>
  </si>
  <si>
    <t>F(ind-com)</t>
  </si>
  <si>
    <t>Factor for high nitrogen loading of industrial or commercial discharge</t>
  </si>
  <si>
    <t>Default - a specific value is not available from WWTP</t>
  </si>
  <si>
    <t>EF (nit/denit)</t>
  </si>
  <si>
    <t>g N2O/person/year</t>
  </si>
  <si>
    <t>Emission factor for a WWTP with nitrification or denitrification</t>
  </si>
  <si>
    <t>Fugitive Emission Factors</t>
  </si>
  <si>
    <t>Total N-Load</t>
  </si>
  <si>
    <t>kg N/person/day</t>
  </si>
  <si>
    <t>Average total nitrogen per day</t>
  </si>
  <si>
    <t>N uptake</t>
  </si>
  <si>
    <t>kg N/kg BOD</t>
  </si>
  <si>
    <t>Nitrogen uptake for cell growth in aerobic systems</t>
  </si>
  <si>
    <t>BOD5</t>
  </si>
  <si>
    <t>kg BOD/person/day</t>
  </si>
  <si>
    <t>Amount of BOD5 produced per person per day</t>
  </si>
  <si>
    <t>EF</t>
  </si>
  <si>
    <t>kg N2O-N/kg sewage-N discharged</t>
  </si>
  <si>
    <t>For river or stream discharge</t>
  </si>
  <si>
    <t>MW Ratio</t>
  </si>
  <si>
    <t>N2O:N2</t>
  </si>
  <si>
    <t>Molecular weight ratio of N2O to N2</t>
  </si>
  <si>
    <t>F plant nit/denit</t>
  </si>
  <si>
    <t>Fraction of nitrogen removed from the WWTP with nitrification/denitrification</t>
  </si>
  <si>
    <t>Days/Year</t>
  </si>
  <si>
    <t>Process Specifc Details</t>
  </si>
  <si>
    <t>Process specific information is available</t>
  </si>
  <si>
    <t>The facility does not incenerate solids</t>
  </si>
  <si>
    <t>The facility practices nitrification (conversion of ammonia to nitrite and nitrate)</t>
  </si>
  <si>
    <t>The facility does not add methanol for nitrogen removal</t>
  </si>
  <si>
    <t>kg N/day</t>
  </si>
  <si>
    <t>Built Environment Data</t>
  </si>
  <si>
    <t>Ann Arbor Community-Wide Electricity and Natural Gas Consumption</t>
  </si>
  <si>
    <t>Electricity (kWh)</t>
  </si>
  <si>
    <t>Gas (CCF)</t>
  </si>
  <si>
    <t>Propane (CCF)</t>
  </si>
  <si>
    <t>Commercial and Industrial (Less UM)</t>
  </si>
  <si>
    <t>University of Michigan</t>
  </si>
  <si>
    <t>Commercial and Industrial (Total)</t>
  </si>
  <si>
    <t>Community-Wide Natural Gas and Electricity Consumption</t>
  </si>
  <si>
    <t>Add annual data by zipcode as provided by DTE.</t>
  </si>
  <si>
    <t>Zip Code</t>
  </si>
  <si>
    <t>Electric (kWh)</t>
  </si>
  <si>
    <t>Total Residential</t>
  </si>
  <si>
    <t>Total Commercial</t>
  </si>
  <si>
    <t>Industrial</t>
  </si>
  <si>
    <t>Total Industrial</t>
  </si>
  <si>
    <t>DTE Account Manager</t>
  </si>
  <si>
    <t>Zip Code Scaling Factor</t>
  </si>
  <si>
    <t xml:space="preserve">Update zip code scaling factor as available. </t>
  </si>
  <si>
    <t>Commercial &amp; Industrial</t>
  </si>
  <si>
    <t>City of Ann Arbor GIS</t>
  </si>
  <si>
    <t>Choice Natural Gas Scaling Factor</t>
  </si>
  <si>
    <t>MPSC Gas Choice Population</t>
  </si>
  <si>
    <t>MPSC</t>
  </si>
  <si>
    <t>House Heating Fuel</t>
  </si>
  <si>
    <t>Michigan Propane Consumption (Residential)</t>
  </si>
  <si>
    <t>Thousand Barrels</t>
  </si>
  <si>
    <t>EIA SEDS Michigan, Table CT4</t>
  </si>
  <si>
    <t>Michigan Propane Households</t>
  </si>
  <si>
    <t>Michigan</t>
  </si>
  <si>
    <t>Ann Arbor</t>
  </si>
  <si>
    <t>US Census ACS 5 Year Estimates, House Heating Fuel</t>
  </si>
  <si>
    <t>Per-Household Propane Use</t>
  </si>
  <si>
    <t>CCF/Household</t>
  </si>
  <si>
    <t>University of Michigan Natural Gas and Electricity Consumption</t>
  </si>
  <si>
    <t>Purchased Electric (kWh)</t>
  </si>
  <si>
    <t>Purchased Natural Gas (CCF)</t>
  </si>
  <si>
    <t>Transmission and Distribution Losses</t>
  </si>
  <si>
    <t>Category (kWh)</t>
  </si>
  <si>
    <t>Year
1990</t>
  </si>
  <si>
    <t>Year
1991</t>
  </si>
  <si>
    <t>Year
1992</t>
  </si>
  <si>
    <t>Year
1993</t>
  </si>
  <si>
    <t>Year
1994</t>
  </si>
  <si>
    <t>Year
1995</t>
  </si>
  <si>
    <t>Year
1996</t>
  </si>
  <si>
    <t>Year
1997</t>
  </si>
  <si>
    <t>Year
1998</t>
  </si>
  <si>
    <t>Year
1999</t>
  </si>
  <si>
    <t>Year
2000</t>
  </si>
  <si>
    <t>Year
2001</t>
  </si>
  <si>
    <t>Year
2002</t>
  </si>
  <si>
    <t>Year
2003</t>
  </si>
  <si>
    <t>Year
2004</t>
  </si>
  <si>
    <t>Year
2005</t>
  </si>
  <si>
    <t>Year
2006</t>
  </si>
  <si>
    <t>Year
2007</t>
  </si>
  <si>
    <t>Year
2008</t>
  </si>
  <si>
    <t>Year
2009</t>
  </si>
  <si>
    <t>Year
2010</t>
  </si>
  <si>
    <t>Year
2011</t>
  </si>
  <si>
    <t>Year
2012</t>
  </si>
  <si>
    <t>Year
2013</t>
  </si>
  <si>
    <t>Year
2014</t>
  </si>
  <si>
    <t>Year
2015</t>
  </si>
  <si>
    <t>Year
2016</t>
  </si>
  <si>
    <t>Year
2017</t>
  </si>
  <si>
    <t>Year
2018</t>
  </si>
  <si>
    <t>Direct use</t>
  </si>
  <si>
    <t>Estimated losses</t>
  </si>
  <si>
    <t>Total disposition</t>
  </si>
  <si>
    <t>EIA State Electricty Profiles, Michigan</t>
  </si>
  <si>
    <t>Emissions from Electric Power Production</t>
  </si>
  <si>
    <t>University of Michgian Central Power Plant (Natural Gas)</t>
  </si>
  <si>
    <t>Production (kWh)</t>
  </si>
  <si>
    <t>University of Michigan Facilities and Operations Annual Reports</t>
  </si>
  <si>
    <t>Transportation Data</t>
  </si>
  <si>
    <t>Inboundary Onroad VMT</t>
  </si>
  <si>
    <t>Freeway VMT</t>
  </si>
  <si>
    <t>Surface VMT</t>
  </si>
  <si>
    <t>WATS Contact</t>
  </si>
  <si>
    <t>Vehicle Characterization Data</t>
  </si>
  <si>
    <t xml:space="preserve">Update vehicle characterization counts for Washtenaw County if more recent counts are available </t>
  </si>
  <si>
    <t>Vehicle Count</t>
  </si>
  <si>
    <t>Composition, Less Buses</t>
  </si>
  <si>
    <t>Motocycle</t>
  </si>
  <si>
    <t>Light Commerical Truck</t>
  </si>
  <si>
    <t>Intercity Bus</t>
  </si>
  <si>
    <t>School Bus</t>
  </si>
  <si>
    <t>Single short-haul Truck</t>
  </si>
  <si>
    <t>Single long-haul Truck</t>
  </si>
  <si>
    <t>Comb. short-haul Truck</t>
  </si>
  <si>
    <t>Comb. long-haul Truck</t>
  </si>
  <si>
    <t>Total, less Buses</t>
  </si>
  <si>
    <t>Electric Vehicles</t>
  </si>
  <si>
    <t>Ann Arbor Vehicle Count</t>
  </si>
  <si>
    <t>Washtenaw County Vehicle Count</t>
  </si>
  <si>
    <t>% of Passenger Vehicles</t>
  </si>
  <si>
    <t>BEVs</t>
  </si>
  <si>
    <t>PHEVs</t>
  </si>
  <si>
    <t>Atlas EV Hub State Profile</t>
  </si>
  <si>
    <t>*Zipcodes 48103, 48104, 48105, 48108</t>
  </si>
  <si>
    <t>Community-Wide Buses</t>
  </si>
  <si>
    <t>Diesel (Gallons)</t>
  </si>
  <si>
    <t>Biodiesel (Gallons)</t>
  </si>
  <si>
    <t>Diesel (VMT)</t>
  </si>
  <si>
    <t>Biodiesel (VMT)</t>
  </si>
  <si>
    <t>NA</t>
  </si>
  <si>
    <t>Biodiesel (20%)</t>
  </si>
  <si>
    <t>Biodiesel (5%)</t>
  </si>
  <si>
    <t>UM Office of Campus Sustainability Environmental Metrics</t>
  </si>
  <si>
    <t>Railway, Passenger</t>
  </si>
  <si>
    <t>Ann Arbor Station Passenger Volume</t>
  </si>
  <si>
    <t>Inboundary Railway Miles</t>
  </si>
  <si>
    <t>Annual Passenger-Miles</t>
  </si>
  <si>
    <t>Amtrak</t>
  </si>
  <si>
    <t>Railway, Freight</t>
  </si>
  <si>
    <t xml:space="preserve">Add freight ton miles if new information is available. </t>
  </si>
  <si>
    <t>Inbound, Intra, Outbound Ton-Miles</t>
  </si>
  <si>
    <t>MDOT Contact</t>
  </si>
  <si>
    <t>Aviation, Municipal</t>
  </si>
  <si>
    <t>Add fuel consumption for reporting year</t>
  </si>
  <si>
    <t>Jet A Fuel (gal)</t>
  </si>
  <si>
    <t>Avgas Fuel (gal)</t>
  </si>
  <si>
    <t>City of Ann Arbor Contact</t>
  </si>
  <si>
    <t>Washtenaw County Means of Transportation</t>
  </si>
  <si>
    <t xml:space="preserve">Add means of transportation as available. </t>
  </si>
  <si>
    <t xml:space="preserve">Carpooled </t>
  </si>
  <si>
    <t>Worked from Home</t>
  </si>
  <si>
    <t>Total Alternative</t>
  </si>
  <si>
    <t>Share Alternative</t>
  </si>
  <si>
    <t>US Census ACS 5 Year Estimates, Means of Transportation, Washtenaw County</t>
  </si>
  <si>
    <t>Commuting Data Set</t>
  </si>
  <si>
    <t>Total Commuting VMT - Outside of Ann Arbor Boundary</t>
  </si>
  <si>
    <t>Inflow</t>
  </si>
  <si>
    <t>Outflow</t>
  </si>
  <si>
    <t>Assumptions</t>
  </si>
  <si>
    <t>Miles</t>
  </si>
  <si>
    <t>Determined from Google Maps</t>
  </si>
  <si>
    <t>OutRegion</t>
  </si>
  <si>
    <t>Trips outside of Southeast Michigan. Assumed to be 65 miles.</t>
  </si>
  <si>
    <t>Out of State</t>
  </si>
  <si>
    <t xml:space="preserve">Trips outside of Michigan. Assumed to be 60 miles. </t>
  </si>
  <si>
    <t>Round Trip Factor</t>
  </si>
  <si>
    <t>Working Days per Week</t>
  </si>
  <si>
    <t>Working Weeks per Year</t>
  </si>
  <si>
    <t>Annual Conversion</t>
  </si>
  <si>
    <t>Average distance from city border to downtown Ann Arbor (miles)</t>
  </si>
  <si>
    <t>Inflow and Outflow Commuting Population</t>
  </si>
  <si>
    <t>Township</t>
  </si>
  <si>
    <t>Inflow Commuters</t>
  </si>
  <si>
    <t>Inflow Miles</t>
  </si>
  <si>
    <t>Outflow Commuters</t>
  </si>
  <si>
    <t>Outflow Miles</t>
  </si>
  <si>
    <t>Pittsfield Twp</t>
  </si>
  <si>
    <t>Ypsilanti Twp</t>
  </si>
  <si>
    <t>Ann Arbor Twp</t>
  </si>
  <si>
    <t>Scio Twp</t>
  </si>
  <si>
    <t>Ypsilanti</t>
  </si>
  <si>
    <t>Canton Twp</t>
  </si>
  <si>
    <t>Dearborn</t>
  </si>
  <si>
    <t>Superior Twp</t>
  </si>
  <si>
    <t>Detroit</t>
  </si>
  <si>
    <t>Hamburg Twp</t>
  </si>
  <si>
    <t>Livonia</t>
  </si>
  <si>
    <t>Saline</t>
  </si>
  <si>
    <t>Van Buren Twp</t>
  </si>
  <si>
    <t>Webster Twp</t>
  </si>
  <si>
    <t>Plymouth Twp</t>
  </si>
  <si>
    <t>Southfield</t>
  </si>
  <si>
    <t>York Twp</t>
  </si>
  <si>
    <t>Farmington Hills</t>
  </si>
  <si>
    <t>Lodi Twp</t>
  </si>
  <si>
    <t>Romulus</t>
  </si>
  <si>
    <t>Westland</t>
  </si>
  <si>
    <t>Novi</t>
  </si>
  <si>
    <t>Dexter</t>
  </si>
  <si>
    <t>Chelsea</t>
  </si>
  <si>
    <t>Green Oak Twp</t>
  </si>
  <si>
    <t>Wayne</t>
  </si>
  <si>
    <t>Dexter Twp</t>
  </si>
  <si>
    <t>Northfield Twp</t>
  </si>
  <si>
    <t>Milan</t>
  </si>
  <si>
    <t>Auburn Hills</t>
  </si>
  <si>
    <t>Brighton Twp</t>
  </si>
  <si>
    <t>West Bloomfield Twp</t>
  </si>
  <si>
    <t>Genoa Twp</t>
  </si>
  <si>
    <t>Milford Twp</t>
  </si>
  <si>
    <t>Augusta Twp</t>
  </si>
  <si>
    <t>Sharon Twp</t>
  </si>
  <si>
    <t>Northville Twp</t>
  </si>
  <si>
    <t>Lima Twp</t>
  </si>
  <si>
    <t>Putnam Twp</t>
  </si>
  <si>
    <t>Belleville</t>
  </si>
  <si>
    <t>Lyon Twp</t>
  </si>
  <si>
    <t>Plymouth</t>
  </si>
  <si>
    <t>Taylor</t>
  </si>
  <si>
    <t>South Lyon</t>
  </si>
  <si>
    <t>Royal Oak</t>
  </si>
  <si>
    <t>Dearborn Heights</t>
  </si>
  <si>
    <t>Huron Twp</t>
  </si>
  <si>
    <t>Dundee</t>
  </si>
  <si>
    <t>Warren</t>
  </si>
  <si>
    <t>Marion Twp</t>
  </si>
  <si>
    <t>Brighton</t>
  </si>
  <si>
    <t>Bloomfield Twp</t>
  </si>
  <si>
    <t>Howell</t>
  </si>
  <si>
    <t>Hartland Twp</t>
  </si>
  <si>
    <t>Redford Twp</t>
  </si>
  <si>
    <t>Oceola Twp</t>
  </si>
  <si>
    <t>Wyandotte</t>
  </si>
  <si>
    <t>Pinckney</t>
  </si>
  <si>
    <t>Pontiac</t>
  </si>
  <si>
    <t>Sylvan Twp</t>
  </si>
  <si>
    <t>Lyndon Twp</t>
  </si>
  <si>
    <t>Troy</t>
  </si>
  <si>
    <t>Trenton</t>
  </si>
  <si>
    <t>Orion Twp</t>
  </si>
  <si>
    <t>Sumpter Twp</t>
  </si>
  <si>
    <t>Grosse Pointe Woods</t>
  </si>
  <si>
    <t>Bedford Twp</t>
  </si>
  <si>
    <t>Salem Twp</t>
  </si>
  <si>
    <t>Commerce Twp</t>
  </si>
  <si>
    <t>Birmingham</t>
  </si>
  <si>
    <t>London Twp</t>
  </si>
  <si>
    <t>Oak Park</t>
  </si>
  <si>
    <t>Unadilla Twp</t>
  </si>
  <si>
    <t>Waterford Twp</t>
  </si>
  <si>
    <t>Monroe</t>
  </si>
  <si>
    <t>Manchester Twp</t>
  </si>
  <si>
    <t>Fowlerville</t>
  </si>
  <si>
    <t>Bridgewater Twp</t>
  </si>
  <si>
    <t>Saline Twp</t>
  </si>
  <si>
    <t>Freedom Twp</t>
  </si>
  <si>
    <t>Manchester</t>
  </si>
  <si>
    <t>Garden City</t>
  </si>
  <si>
    <t>Lathrup Village</t>
  </si>
  <si>
    <t>Milford</t>
  </si>
  <si>
    <t>Dundee Twp</t>
  </si>
  <si>
    <t>Wixom</t>
  </si>
  <si>
    <t>Bruce Twp</t>
  </si>
  <si>
    <t>Roseville</t>
  </si>
  <si>
    <t>Brownstown Twp</t>
  </si>
  <si>
    <t>Independence Twp</t>
  </si>
  <si>
    <t>Frenchtown Twp</t>
  </si>
  <si>
    <t>Milan Twp</t>
  </si>
  <si>
    <t>Barton Hills</t>
  </si>
  <si>
    <t>Grosse Pointe</t>
  </si>
  <si>
    <t>Berkley</t>
  </si>
  <si>
    <t>Lincoln Park</t>
  </si>
  <si>
    <t>Allen Park</t>
  </si>
  <si>
    <t>River Rouge</t>
  </si>
  <si>
    <t>Rochester Hills</t>
  </si>
  <si>
    <t>Southgate</t>
  </si>
  <si>
    <t>Bingham Farms</t>
  </si>
  <si>
    <t>Northville</t>
  </si>
  <si>
    <t>Clawson</t>
  </si>
  <si>
    <t>Howell Twp</t>
  </si>
  <si>
    <t>Highland Twp</t>
  </si>
  <si>
    <t>Novi Twp</t>
  </si>
  <si>
    <t>Inkster</t>
  </si>
  <si>
    <t>Oakland Twp</t>
  </si>
  <si>
    <t>White Lake Twp</t>
  </si>
  <si>
    <t>Springfield Twp</t>
  </si>
  <si>
    <t>Macomb Twp</t>
  </si>
  <si>
    <t>Farmington</t>
  </si>
  <si>
    <t>Chesterfield Twp</t>
  </si>
  <si>
    <t>Sterling Heights</t>
  </si>
  <si>
    <t>Tyrone Twp</t>
  </si>
  <si>
    <t>Raisinville Twp</t>
  </si>
  <si>
    <t>Highland Park</t>
  </si>
  <si>
    <t>Ida Twp</t>
  </si>
  <si>
    <t>Woodhaven</t>
  </si>
  <si>
    <t>Monroe Twp</t>
  </si>
  <si>
    <t>Clinton Twp</t>
  </si>
  <si>
    <t>Eastpointe</t>
  </si>
  <si>
    <t>Romeo</t>
  </si>
  <si>
    <t>Summerfield Twp</t>
  </si>
  <si>
    <t>Iosco Twp</t>
  </si>
  <si>
    <t>Grosse Pointe Shores</t>
  </si>
  <si>
    <t>Grosse Pointe Park</t>
  </si>
  <si>
    <t>Sylvan Lake</t>
  </si>
  <si>
    <t>LaSalle Twp</t>
  </si>
  <si>
    <t>Petersburg</t>
  </si>
  <si>
    <t>Cohoctah Twp</t>
  </si>
  <si>
    <t>Ferndale</t>
  </si>
  <si>
    <t>Riverview</t>
  </si>
  <si>
    <t>Whiteford Twp</t>
  </si>
  <si>
    <t>Marine City</t>
  </si>
  <si>
    <t>Holly</t>
  </si>
  <si>
    <t>Hamtramck</t>
  </si>
  <si>
    <t>Huntington Woods</t>
  </si>
  <si>
    <t>Walled Lake</t>
  </si>
  <si>
    <t>Handy Twp</t>
  </si>
  <si>
    <t>Maybee</t>
  </si>
  <si>
    <t>Ash Twp</t>
  </si>
  <si>
    <t>Ecorse</t>
  </si>
  <si>
    <t>Flat Rock</t>
  </si>
  <si>
    <t>Deerfield Twp</t>
  </si>
  <si>
    <t>St. Clair Shores</t>
  </si>
  <si>
    <t>Bloomfield Hills</t>
  </si>
  <si>
    <t>Beverly Hills</t>
  </si>
  <si>
    <t>Harper Woods</t>
  </si>
  <si>
    <t>Wolverine Lake</t>
  </si>
  <si>
    <t>Luna Pier</t>
  </si>
  <si>
    <t>South Rockwood</t>
  </si>
  <si>
    <t>Shelby Twp</t>
  </si>
  <si>
    <t>Grosse Pointe Farms</t>
  </si>
  <si>
    <t>Harrison Twp</t>
  </si>
  <si>
    <t>Estral Beach</t>
  </si>
  <si>
    <t>Brandon Twp</t>
  </si>
  <si>
    <t>Holly Twp</t>
  </si>
  <si>
    <t>Keego Harbor</t>
  </si>
  <si>
    <t>Madison Heights</t>
  </si>
  <si>
    <t>Rochester</t>
  </si>
  <si>
    <t>Rose Twp</t>
  </si>
  <si>
    <t>Exeter Twp</t>
  </si>
  <si>
    <t>Franklin</t>
  </si>
  <si>
    <t>Berlin Twp (St. Clair)</t>
  </si>
  <si>
    <t>Gibraltar</t>
  </si>
  <si>
    <t>Grosse Ile Twp</t>
  </si>
  <si>
    <t>Groveland Twp</t>
  </si>
  <si>
    <t>Orchard Lake Village</t>
  </si>
  <si>
    <t>Pleasant Ridge</t>
  </si>
  <si>
    <t>Solid Waste Data</t>
  </si>
  <si>
    <t>Mass of Solid Waste Sent by Community to Facility</t>
  </si>
  <si>
    <t>Sector</t>
  </si>
  <si>
    <t>City of Ann Arbor Public Works Contact</t>
  </si>
  <si>
    <t>Inboundary Landfills</t>
  </si>
  <si>
    <t>Emissions (MT CO2e)</t>
  </si>
  <si>
    <t>EPA FLIGHT Program</t>
  </si>
  <si>
    <t>Water and Wastewater Data</t>
  </si>
  <si>
    <t>Wastewater Electricity Consumption</t>
  </si>
  <si>
    <t>Astor Pumping Station</t>
  </si>
  <si>
    <t>Distribution</t>
  </si>
  <si>
    <t>South Pump Blvd.</t>
  </si>
  <si>
    <t>Franklin Pumping</t>
  </si>
  <si>
    <t>Parklake Pumping Station</t>
  </si>
  <si>
    <t>Sequoia Pump</t>
  </si>
  <si>
    <t>Parkwood Pumping Station</t>
  </si>
  <si>
    <t>WWTP</t>
  </si>
  <si>
    <t>Treatment</t>
  </si>
  <si>
    <t>Wastewater Natural Gas Consumption</t>
  </si>
  <si>
    <t>Franklin Pumping Station</t>
  </si>
  <si>
    <t>Parklake Pumping station</t>
  </si>
  <si>
    <t>Water Electricity Consumption</t>
  </si>
  <si>
    <t xml:space="preserve">Geddes Dam Meter </t>
  </si>
  <si>
    <t>Hydro</t>
  </si>
  <si>
    <t xml:space="preserve">Argo Dam </t>
  </si>
  <si>
    <t xml:space="preserve">USGS Meter </t>
  </si>
  <si>
    <t xml:space="preserve">Beal Pumping Station </t>
  </si>
  <si>
    <t xml:space="preserve">S. Industrial Pump Station </t>
  </si>
  <si>
    <t xml:space="preserve">Barton Pumping Station WTP </t>
  </si>
  <si>
    <t xml:space="preserve">S Industrial Maint Garage </t>
  </si>
  <si>
    <t xml:space="preserve">WTP Pressure Reducing Valve </t>
  </si>
  <si>
    <t xml:space="preserve">Plymouth Rd. Water Tower </t>
  </si>
  <si>
    <t>Glen Booster Pump</t>
  </si>
  <si>
    <t xml:space="preserve">Superior Hydro Power </t>
  </si>
  <si>
    <t>Barton Pumping Station WTP</t>
  </si>
  <si>
    <t xml:space="preserve">W. High SVCS Res/Pump </t>
  </si>
  <si>
    <t xml:space="preserve">Montgomery Pump Station </t>
  </si>
  <si>
    <t xml:space="preserve">Steere Farm Wells </t>
  </si>
  <si>
    <t>Water Treatment Plant</t>
  </si>
  <si>
    <t>Water Natural Gas Consumption</t>
  </si>
  <si>
    <t>Beal Pumping Station</t>
  </si>
  <si>
    <t>Barton Pumping Station</t>
  </si>
  <si>
    <t>Steere Farm Wells</t>
  </si>
  <si>
    <t>Built Environment Emissions</t>
  </si>
  <si>
    <t>Activity Data</t>
  </si>
  <si>
    <t>Fuel</t>
  </si>
  <si>
    <t>CCF</t>
  </si>
  <si>
    <t>Emissions from Electricity Use</t>
  </si>
  <si>
    <t>Electric Power Transmission and Distribution Losses</t>
  </si>
  <si>
    <t>Loss Factor</t>
  </si>
  <si>
    <t>Losses</t>
  </si>
  <si>
    <t>MTCO2e</t>
  </si>
  <si>
    <t>Upstream Emissions from Energy Use</t>
  </si>
  <si>
    <t>Stationary Fuel Combustion</t>
  </si>
  <si>
    <t>Estimated Impact</t>
  </si>
  <si>
    <t>Amount Consumed</t>
  </si>
  <si>
    <t>Upstream Leaks</t>
  </si>
  <si>
    <t>Emissions from In-Boundary Electric Power Production</t>
  </si>
  <si>
    <t>Source</t>
  </si>
  <si>
    <t>University of Michigan CPP</t>
  </si>
  <si>
    <t>Transportation Emissions</t>
  </si>
  <si>
    <t>Passenger Vehicle Operation</t>
  </si>
  <si>
    <t>Passenger Vehicles</t>
  </si>
  <si>
    <t>% Gasoline</t>
  </si>
  <si>
    <t>Motocycles</t>
  </si>
  <si>
    <t>Passenger Trucks</t>
  </si>
  <si>
    <t>Total Inboundary</t>
  </si>
  <si>
    <t>Outboundary</t>
  </si>
  <si>
    <t>Information ONLY</t>
  </si>
  <si>
    <t>Total Outboundary</t>
  </si>
  <si>
    <t>Freight and Service Truck Operation</t>
  </si>
  <si>
    <t>Rail Operation</t>
  </si>
  <si>
    <t>Freight Rail</t>
  </si>
  <si>
    <t>ton-miles</t>
  </si>
  <si>
    <t>Inboudary</t>
  </si>
  <si>
    <t>Passenger Rail</t>
  </si>
  <si>
    <t>passenger-miles</t>
  </si>
  <si>
    <t>Transit Operation Fuel Consumption</t>
  </si>
  <si>
    <t>Operator</t>
  </si>
  <si>
    <t>CO2 - Anthropogenic</t>
  </si>
  <si>
    <t>CO2 - Biogenic</t>
  </si>
  <si>
    <t>CO2 - Total</t>
  </si>
  <si>
    <t>CO2e</t>
  </si>
  <si>
    <t>MT CH4</t>
  </si>
  <si>
    <t>MT N2O</t>
  </si>
  <si>
    <t>Inboundary and Outboundary</t>
  </si>
  <si>
    <t>gal</t>
  </si>
  <si>
    <t>Air Travel - Aircraft Emissions</t>
  </si>
  <si>
    <t>Airport</t>
  </si>
  <si>
    <t>Municipal</t>
  </si>
  <si>
    <t>Upstream Emissions</t>
  </si>
  <si>
    <t>Solid Waste Emissions</t>
  </si>
  <si>
    <t>Emissions from Community's Materials Disposal</t>
  </si>
  <si>
    <t>Emissions from Inboundary Landfills</t>
  </si>
  <si>
    <t>Facility</t>
  </si>
  <si>
    <t>Ann Arbor Landfill</t>
  </si>
  <si>
    <t>Wastewater Emissions</t>
  </si>
  <si>
    <t>Process Emissions from Wastewater Treatment Plants that Uses Nitrification or Denitrification</t>
  </si>
  <si>
    <t>N2O Emissions</t>
  </si>
  <si>
    <t>g N2O</t>
  </si>
  <si>
    <t>population served by WWTP</t>
  </si>
  <si>
    <t>Inboundary, associated with population</t>
  </si>
  <si>
    <t>Ann Arbor population</t>
  </si>
  <si>
    <t>Fugitive Nitrous Oxide Emissions from Effluent Discharge</t>
  </si>
  <si>
    <t>Wastewater Energy Consumption</t>
  </si>
  <si>
    <t>Information Only</t>
  </si>
  <si>
    <t>CFF</t>
  </si>
  <si>
    <t>Water Energy Consumption</t>
  </si>
  <si>
    <t>Conversion Factors</t>
  </si>
  <si>
    <t>Name</t>
  </si>
  <si>
    <t>100 Year GWP</t>
  </si>
  <si>
    <t>Carbon dioxide</t>
  </si>
  <si>
    <t>Methane</t>
  </si>
  <si>
    <t>Nitrous oxide</t>
  </si>
  <si>
    <t>From : To</t>
  </si>
  <si>
    <t>k</t>
  </si>
  <si>
    <t>Multiply By</t>
  </si>
  <si>
    <t>s (standard)</t>
  </si>
  <si>
    <t>Mass</t>
  </si>
  <si>
    <t>kg</t>
  </si>
  <si>
    <t>Metric Tonnes</t>
  </si>
  <si>
    <t>Multiply by</t>
  </si>
  <si>
    <t>lb</t>
  </si>
  <si>
    <t>Ton</t>
  </si>
  <si>
    <t>g</t>
  </si>
  <si>
    <t>Volume</t>
  </si>
  <si>
    <t>m3</t>
  </si>
  <si>
    <t>ft3</t>
  </si>
  <si>
    <t>bbl</t>
  </si>
  <si>
    <t>Liters</t>
  </si>
  <si>
    <t>Energy Conversions</t>
  </si>
  <si>
    <t>From</t>
  </si>
  <si>
    <t>To</t>
  </si>
  <si>
    <t>Stationary Energy</t>
  </si>
  <si>
    <t>I.1.1</t>
  </si>
  <si>
    <t>I.2.1</t>
  </si>
  <si>
    <t>Residential Buildings</t>
  </si>
  <si>
    <t>I.1</t>
  </si>
  <si>
    <t>I.2</t>
  </si>
  <si>
    <t>Residential Natural Gas Combustion</t>
  </si>
  <si>
    <t>Residential Propane Combustion</t>
  </si>
  <si>
    <t>University of Michigan Fuel Combustion</t>
  </si>
  <si>
    <t>I.3</t>
  </si>
  <si>
    <t>Residential Electricity Consumption</t>
  </si>
  <si>
    <t>Residential Transmission and Distribution Losses</t>
  </si>
  <si>
    <t>University of Michigan Electricity Consumption</t>
  </si>
  <si>
    <t>University of Michigan Transmission and Distribution Loss</t>
  </si>
  <si>
    <t>I.2.2</t>
  </si>
  <si>
    <t>I.2.3</t>
  </si>
  <si>
    <t>Electricity Consumption</t>
  </si>
  <si>
    <t>I.4</t>
  </si>
  <si>
    <t>I.5</t>
  </si>
  <si>
    <t>I.6</t>
  </si>
  <si>
    <t>I.7</t>
  </si>
  <si>
    <t>I.8</t>
  </si>
  <si>
    <t>Fugitive emissions from oil and natural gas systems</t>
  </si>
  <si>
    <t>I.8.1</t>
  </si>
  <si>
    <t>Transportation</t>
  </si>
  <si>
    <t>II.1.1</t>
  </si>
  <si>
    <t>II.1.3</t>
  </si>
  <si>
    <t>Railways</t>
  </si>
  <si>
    <t>II.2.1</t>
  </si>
  <si>
    <t>Aviation</t>
  </si>
  <si>
    <t>II.4.1</t>
  </si>
  <si>
    <t>Aviation fuel combustion within boundary</t>
  </si>
  <si>
    <t>Waste</t>
  </si>
  <si>
    <t>III.1.1</t>
  </si>
  <si>
    <t>Solid Waste Disposal</t>
  </si>
  <si>
    <t>III.1.2</t>
  </si>
  <si>
    <t>Biological Treatment of Waste</t>
  </si>
  <si>
    <t>III.2.1</t>
  </si>
  <si>
    <t>Biological waste generated and treated within City boundary</t>
  </si>
  <si>
    <t>Wastewater treatment and discharge</t>
  </si>
  <si>
    <t>III.4.1</t>
  </si>
  <si>
    <t>Emissions from wastewater generated and treated within City boundary</t>
  </si>
  <si>
    <t>Ann Arbor GDP</t>
  </si>
  <si>
    <t>Millions 2012 USD</t>
  </si>
  <si>
    <t>Total VMT</t>
  </si>
  <si>
    <t>Total Passenger</t>
  </si>
  <si>
    <t>Emission Factors</t>
  </si>
  <si>
    <t>MT CH4/ton compost</t>
  </si>
  <si>
    <t>MT N2O/ton compost</t>
  </si>
  <si>
    <t>Residential MSW</t>
  </si>
  <si>
    <t>Residential Recycling</t>
  </si>
  <si>
    <t>Residential Organics</t>
  </si>
  <si>
    <t>Commercial MSW</t>
  </si>
  <si>
    <t>Commercial Recycling</t>
  </si>
  <si>
    <t>Commercial Organics</t>
  </si>
  <si>
    <t>Total Rail</t>
  </si>
  <si>
    <t>Emissions from fugitive emissions within the city boundary</t>
  </si>
  <si>
    <t>Road: Passenger</t>
  </si>
  <si>
    <t>Residential Fuel Combustion</t>
  </si>
  <si>
    <t>INFORMATION ONLY: Stationary Energy Totals</t>
  </si>
  <si>
    <t>INFORMATION ONLY: Energy Industries</t>
  </si>
  <si>
    <t>INFORMATION ONLY: Emissions from energy generation</t>
  </si>
  <si>
    <t>Road: Commercial/Trucks</t>
  </si>
  <si>
    <t>Cars and Light Duty Trucks, Inboundary</t>
  </si>
  <si>
    <t>Cars and Light Duty Trucks, Out-of-Boundary Portion of Commute</t>
  </si>
  <si>
    <t>Rail - Freight</t>
  </si>
  <si>
    <t>Rail - Passenger</t>
  </si>
  <si>
    <t>Closed Landfill</t>
  </si>
  <si>
    <t>Landfilled Waste</t>
  </si>
  <si>
    <t>Process Emissions of Landfilled Waste</t>
  </si>
  <si>
    <t>Residential Landilled Waste</t>
  </si>
  <si>
    <t>Commercial Landfilled Waste</t>
  </si>
  <si>
    <t>Total Emissions</t>
  </si>
  <si>
    <t>Solid Waste and Wastewater Emissions</t>
  </si>
  <si>
    <t xml:space="preserve">Simple Inventory </t>
  </si>
  <si>
    <t>Expanded Inventory</t>
  </si>
  <si>
    <t>Commercial, Institutional, and Industrial Buildings</t>
  </si>
  <si>
    <t>Commercial, Institutional, and Industrial Fuel Combustion</t>
  </si>
  <si>
    <t>Commercial, Institutional, and Industrial Electricity Consumption</t>
  </si>
  <si>
    <t>Commercial, Institutional, and Industrial Transmission and Distribution Loss</t>
  </si>
  <si>
    <t>Commercial and Industrial Fuel Combustion</t>
  </si>
  <si>
    <t>Commercial and Industrial Electricity Consumption</t>
  </si>
  <si>
    <t>Commercial and Industrial Transmission and Distribution Loss</t>
  </si>
  <si>
    <t>INFORMATION ONLY: Commercial and Industrial Buildings</t>
  </si>
  <si>
    <t>INFORMATION ONLY: University of Michigan Buildings</t>
  </si>
  <si>
    <t>By Sector</t>
  </si>
  <si>
    <t>Residential Sector</t>
  </si>
  <si>
    <t>Commercial and Industrial</t>
  </si>
  <si>
    <t>Solid Waste and Wastewater</t>
  </si>
  <si>
    <t>Upstream</t>
  </si>
  <si>
    <t>By Source</t>
  </si>
  <si>
    <t>Natural Gas Use</t>
  </si>
  <si>
    <t>Natural Gas Use per Capita</t>
  </si>
  <si>
    <t>Natural Gas Use per Household</t>
  </si>
  <si>
    <t>Electricity Use per Capita</t>
  </si>
  <si>
    <t>Electricity Use per Household</t>
  </si>
  <si>
    <t>Total Energy Use per Capita</t>
  </si>
  <si>
    <t>Total Energy Use per Household</t>
  </si>
  <si>
    <t>Grid Emission Factor</t>
  </si>
  <si>
    <t>Total VMT per Capita</t>
  </si>
  <si>
    <t>Residential Waste per Resident</t>
  </si>
  <si>
    <t>Residential Waste per Household</t>
  </si>
  <si>
    <t>Commercial Waste</t>
  </si>
  <si>
    <t>mmBtu/household</t>
  </si>
  <si>
    <t>mmBtu/person</t>
  </si>
  <si>
    <t>MT CO2e/person</t>
  </si>
  <si>
    <t>VMT/person</t>
  </si>
  <si>
    <t>Total VMT per Household</t>
  </si>
  <si>
    <t>VMT/household</t>
  </si>
  <si>
    <t>tons/person</t>
  </si>
  <si>
    <t>Total Passenger Emissions</t>
  </si>
  <si>
    <t>Total Passenger VMT</t>
  </si>
  <si>
    <t>Passenger VMT per Household</t>
  </si>
  <si>
    <t>All Passenger Emissions per Mile</t>
  </si>
  <si>
    <t>Emissions per Household</t>
  </si>
  <si>
    <t>Natural Gas Emissions</t>
  </si>
  <si>
    <t>Natural Gas Emissions per Capita</t>
  </si>
  <si>
    <t>Natural Gas Emissions per Household</t>
  </si>
  <si>
    <t>Electricity Use Emissions</t>
  </si>
  <si>
    <t>Electricity Use Emissions per Capita</t>
  </si>
  <si>
    <t>Total Energy Use Emissions per Capita</t>
  </si>
  <si>
    <t>Total Energy Use Emissions per Household</t>
  </si>
  <si>
    <t>Natural Gas Use Emissions</t>
  </si>
  <si>
    <t>Total Energy Use Emissions</t>
  </si>
  <si>
    <t>FY2004</t>
  </si>
  <si>
    <t>FY2005</t>
  </si>
  <si>
    <t>FY2006</t>
  </si>
  <si>
    <t>FY2007</t>
  </si>
  <si>
    <t>FY2008</t>
  </si>
  <si>
    <t>FY2009</t>
  </si>
  <si>
    <t>FY2010</t>
  </si>
  <si>
    <t>FY2011</t>
  </si>
  <si>
    <t>FY2012</t>
  </si>
  <si>
    <t>FY2013</t>
  </si>
  <si>
    <t>FY2014</t>
  </si>
  <si>
    <t>FY2015</t>
  </si>
  <si>
    <t>FY2016</t>
  </si>
  <si>
    <t>FY2017</t>
  </si>
  <si>
    <t>FY2018</t>
  </si>
  <si>
    <t>FY2019</t>
  </si>
  <si>
    <t>Total Ann Arbor Student Enrollment</t>
  </si>
  <si>
    <t>Ann Arbor Campus Staff</t>
  </si>
  <si>
    <t>UM Hospital Staff</t>
  </si>
  <si>
    <t>Total Campus Population</t>
  </si>
  <si>
    <t>University of Michigan Population</t>
  </si>
  <si>
    <t>UM Population</t>
  </si>
  <si>
    <t>Natural Gas Use per UM User</t>
  </si>
  <si>
    <t>Electricity Use per UM User</t>
  </si>
  <si>
    <t>Electricity Use Emissions per UM User</t>
  </si>
  <si>
    <t>Natural Gas USe Emissions per UM User</t>
  </si>
  <si>
    <t>Total Energy Use per UM User</t>
  </si>
  <si>
    <t>Total Energy Use Emissions per UM User</t>
  </si>
  <si>
    <t>Passenger Emissions within City</t>
  </si>
  <si>
    <t>Passenger VMT within City</t>
  </si>
  <si>
    <t>Passenger Emissions within City per Resident</t>
  </si>
  <si>
    <t>Passenger VMT within City per Resident</t>
  </si>
  <si>
    <t>Passenger Emissions within City per Household</t>
  </si>
  <si>
    <t>Passenger VMT within City per Household</t>
  </si>
  <si>
    <t>Passenger Emissions within City per VMT</t>
  </si>
  <si>
    <t>Commuting Emissions outside City</t>
  </si>
  <si>
    <t>Commuting VMT outside City</t>
  </si>
  <si>
    <t>Total Passenger Emissions per Household</t>
  </si>
  <si>
    <t>Total Passenger Emissions per Resident</t>
  </si>
  <si>
    <t>Passenger VMT per Resident</t>
  </si>
  <si>
    <t>Commuting Emissions outside City per VMT</t>
  </si>
  <si>
    <t>Commercial Road Emissions within City</t>
  </si>
  <si>
    <t>Commercial Road VMT within City</t>
  </si>
  <si>
    <t>Commercial Road Emissions within City per VMT</t>
  </si>
  <si>
    <t>Residential Composting</t>
  </si>
  <si>
    <t>Avoided Emissions Composting</t>
  </si>
  <si>
    <t>Residential Composting per Resident</t>
  </si>
  <si>
    <t>Residential Composting per Household</t>
  </si>
  <si>
    <t>Waste Management and Wastewater</t>
  </si>
  <si>
    <t>Residential Waste Emissions</t>
  </si>
  <si>
    <t>Residential Waste Emissions per Resident</t>
  </si>
  <si>
    <t>Residnetial Waste Emissions per Household</t>
  </si>
  <si>
    <t>Commercial Waste Emissions</t>
  </si>
  <si>
    <t>Vehicles</t>
  </si>
  <si>
    <t>Electric Vehicles in Ann Arbor</t>
  </si>
  <si>
    <t>Electric Vehicle Fraction of Passenger Vehicles in Ann Arbor</t>
  </si>
  <si>
    <t>Commercial and Industrial Sector, less UM</t>
  </si>
  <si>
    <t>Commercial, Industrial and Institutional Buildings</t>
  </si>
  <si>
    <t>Commercial, Industrial and Institutional Fuel Combustion</t>
  </si>
  <si>
    <t>Commercial, Industrial and Institutional Electricity Consumption</t>
  </si>
  <si>
    <t>Commercial, Industrial and Institutional Transmission and Distribution Loss</t>
  </si>
  <si>
    <t>2150.5 lb/MWh</t>
  </si>
  <si>
    <t>1927 lb/MWh</t>
  </si>
  <si>
    <t>NOTE: Purchased electricity accounted for 16.28%</t>
  </si>
  <si>
    <t>Emissions (t CO2e)</t>
  </si>
  <si>
    <t>eGrid</t>
  </si>
  <si>
    <t>Purchased LP Gas (Gal)</t>
  </si>
  <si>
    <t>Purchased Fuel Oil (gal)</t>
  </si>
  <si>
    <t>Fuel Oil</t>
  </si>
  <si>
    <t>kg CO2 per gal</t>
  </si>
  <si>
    <t>g CH4 per gal</t>
  </si>
  <si>
    <t>g N2O per gal</t>
  </si>
  <si>
    <t>MT CO2e/gal</t>
  </si>
  <si>
    <t>Fuel Oil (Gal)</t>
  </si>
  <si>
    <t>Emissions estiamted from modeled methane generation</t>
  </si>
  <si>
    <t>Emissions estiamted from methane recovery</t>
  </si>
  <si>
    <t>City of Ann Arbor Community-Wide Greenhouse Gas Inventory Workbook</t>
  </si>
  <si>
    <t>Introduction and Guide</t>
  </si>
  <si>
    <t xml:space="preserve">Use this spreadsheet to identify data needs, record data sources, collect key metrics, and calculate emission outputs. </t>
  </si>
  <si>
    <t>Legend for Data Entry and Inventory Year</t>
  </si>
  <si>
    <t>Legend for Data Entry</t>
  </si>
  <si>
    <t>Do not edit</t>
  </si>
  <si>
    <t>Requires manual edit annually</t>
  </si>
  <si>
    <t>Required manaul edit as available</t>
  </si>
  <si>
    <t>Inventory Year</t>
  </si>
  <si>
    <t>Lead Coordinator</t>
  </si>
  <si>
    <t>Jurisdiction</t>
  </si>
  <si>
    <t>Thea Yagerlener</t>
  </si>
  <si>
    <t>Title</t>
  </si>
  <si>
    <t>Energy Analyst</t>
  </si>
  <si>
    <t>Department</t>
  </si>
  <si>
    <t>Office of Sustainability and Innovations</t>
  </si>
  <si>
    <t>Email</t>
  </si>
  <si>
    <t>tyagerlener@a2gov.org</t>
  </si>
  <si>
    <t>Inventory Spreadsheet Contents</t>
  </si>
  <si>
    <t>Source/Activity</t>
  </si>
  <si>
    <t>Worksheet</t>
  </si>
  <si>
    <t>Description</t>
  </si>
  <si>
    <t>Data Sources</t>
  </si>
  <si>
    <t>ID</t>
  </si>
  <si>
    <t>Indicator/Source or Activity</t>
  </si>
  <si>
    <t>Data Needed</t>
  </si>
  <si>
    <t>Data Units</t>
  </si>
  <si>
    <t>Is Data Availabe (Y/N)</t>
  </si>
  <si>
    <t>A.1</t>
  </si>
  <si>
    <t>1. City of Ann Arbor Population
2. Washtenaw County Population
3. State of Michigan Population</t>
  </si>
  <si>
    <t># of residents</t>
  </si>
  <si>
    <t>American Community Survey 1-Year Estimates</t>
  </si>
  <si>
    <t>data.census.gov</t>
  </si>
  <si>
    <t>A.2</t>
  </si>
  <si>
    <t>1. City of Ann Arbor Households
2. Washtenaw County Households
3. State of Michigan Households</t>
  </si>
  <si>
    <t># of households</t>
  </si>
  <si>
    <t>A.3</t>
  </si>
  <si>
    <t>Millions 2012 Unchained USD</t>
  </si>
  <si>
    <t>FRED Economic Data</t>
  </si>
  <si>
    <t>fred.stlouisfed.org</t>
  </si>
  <si>
    <t>A.4</t>
  </si>
  <si>
    <t>1. Ann Arbor Campus Student Enrollment
2. Ann Arbor Campus Staff
3. Ann Arbor Hospital Staff</t>
  </si>
  <si>
    <t># of people</t>
  </si>
  <si>
    <t>Office of Campus Sustainability Environmental Metrics</t>
  </si>
  <si>
    <t>OCS Environmental Metrics</t>
  </si>
  <si>
    <t>Degree Days</t>
  </si>
  <si>
    <t>1. Heating Degree Days (65 F)
2. Cooling Degree Days (65 F)</t>
  </si>
  <si>
    <t>65 deg F</t>
  </si>
  <si>
    <t>FRED</t>
  </si>
  <si>
    <t>Millions of Chained 2012 Dollars</t>
  </si>
  <si>
    <t>USD</t>
  </si>
  <si>
    <t>Summary Heating and Cooling Degree Days</t>
  </si>
  <si>
    <t>C.1</t>
  </si>
  <si>
    <t>C.2</t>
  </si>
  <si>
    <t>Column1</t>
  </si>
  <si>
    <t>2018 EPA Emission Factors for Greenhouse Gas Inventories</t>
  </si>
  <si>
    <t>Global Warming Potential Values</t>
  </si>
  <si>
    <t>Chemical</t>
  </si>
  <si>
    <t>Formula</t>
  </si>
  <si>
    <t>IPCC AR5</t>
  </si>
  <si>
    <t>SI Conversions</t>
  </si>
  <si>
    <t>Stationary Fuel Emission Factors</t>
  </si>
  <si>
    <t>1. Natural Gas Emission Factor
2. Propane Emission Factor
3. Fuel Oil Emission Factor</t>
  </si>
  <si>
    <t>MT CO2e/CCF
MT CO2e/CCF
MT CO2e/gal</t>
  </si>
  <si>
    <t>EPA</t>
  </si>
  <si>
    <t>2018 Emission Factors</t>
  </si>
  <si>
    <t>Upstream Stationary Fuel Emission Factors</t>
  </si>
  <si>
    <t>Local Natural Gas Fugitive Emission Rate</t>
  </si>
  <si>
    <t>Methane Emissions Report</t>
  </si>
  <si>
    <t>Total Natural Gas Fugitive Emission Rate</t>
  </si>
  <si>
    <t>USDN</t>
  </si>
  <si>
    <t>% Released/ Consumed</t>
  </si>
  <si>
    <t>Appendix C</t>
  </si>
  <si>
    <t>D.2</t>
  </si>
  <si>
    <t>D.1</t>
  </si>
  <si>
    <t>D.3</t>
  </si>
  <si>
    <t>D.4</t>
  </si>
  <si>
    <t>DTE Grid Fuel Mix</t>
  </si>
  <si>
    <t>DTE Grid Emission Factors</t>
  </si>
  <si>
    <t>1. Composition of DTE Grid
2. Composition of regional grid
3. Percent energy purchased from regional grid</t>
  </si>
  <si>
    <t>CO2 Emission Factor for Fossil Fuel Energy</t>
  </si>
  <si>
    <t>Summary</t>
  </si>
  <si>
    <t>E.2</t>
  </si>
  <si>
    <t>E.1</t>
  </si>
  <si>
    <t>Column2</t>
  </si>
  <si>
    <t>Column3</t>
  </si>
  <si>
    <t>CELLS:</t>
  </si>
  <si>
    <t>TABS:</t>
  </si>
  <si>
    <t>Annual action required</t>
  </si>
  <si>
    <t>No action required</t>
  </si>
  <si>
    <t>CO22</t>
  </si>
  <si>
    <t>E.3</t>
  </si>
  <si>
    <t>E.4</t>
  </si>
  <si>
    <t>E.5</t>
  </si>
  <si>
    <t>E.6</t>
  </si>
  <si>
    <t>E.7</t>
  </si>
  <si>
    <t>E.8</t>
  </si>
  <si>
    <t>Column4</t>
  </si>
  <si>
    <t>E.9</t>
  </si>
  <si>
    <t>E.10</t>
  </si>
  <si>
    <t>E.11</t>
  </si>
  <si>
    <t>E.12</t>
  </si>
  <si>
    <t>E.13</t>
  </si>
  <si>
    <t>E.14</t>
  </si>
  <si>
    <t>E.15</t>
  </si>
  <si>
    <t>F.1</t>
  </si>
  <si>
    <t>F.2</t>
  </si>
  <si>
    <t>F.3</t>
  </si>
  <si>
    <t>F.4</t>
  </si>
  <si>
    <t>G.1</t>
  </si>
  <si>
    <t>G.2</t>
  </si>
  <si>
    <t>G.3</t>
  </si>
  <si>
    <t>H.1</t>
  </si>
  <si>
    <t>H.2</t>
  </si>
  <si>
    <t>H.3</t>
  </si>
  <si>
    <t>H.4</t>
  </si>
  <si>
    <t>H.5</t>
  </si>
  <si>
    <t>H.6</t>
  </si>
  <si>
    <t>H.7</t>
  </si>
  <si>
    <t>J.1</t>
  </si>
  <si>
    <t>J.2</t>
  </si>
  <si>
    <t>K.1</t>
  </si>
  <si>
    <t>K.2</t>
  </si>
  <si>
    <t>L.1</t>
  </si>
  <si>
    <t>L.2</t>
  </si>
  <si>
    <t>L.3</t>
  </si>
  <si>
    <t>L.4</t>
  </si>
  <si>
    <t>Gasoline VMT</t>
  </si>
  <si>
    <t>Diesel VMT</t>
  </si>
  <si>
    <t>Gasoline CO2</t>
  </si>
  <si>
    <t>Diesel CO2</t>
  </si>
  <si>
    <t>Gasoline CH4</t>
  </si>
  <si>
    <t>Diesel CH4</t>
  </si>
  <si>
    <t>Gasoline N2O</t>
  </si>
  <si>
    <t>Diesel N2O</t>
  </si>
  <si>
    <t>Gaseoline MT CO2e/mile</t>
  </si>
  <si>
    <t>Diesel MT CO2e/mile</t>
  </si>
  <si>
    <t>Gasoline Emissions</t>
  </si>
  <si>
    <t>Diesel Emissions</t>
  </si>
  <si>
    <t>Total CO2 Emissions</t>
  </si>
  <si>
    <t>Total CH4 Emissions</t>
  </si>
  <si>
    <t>Total N2O Emissions</t>
  </si>
  <si>
    <t>Institutional</t>
  </si>
  <si>
    <t>Type</t>
  </si>
  <si>
    <t>Passenger rail</t>
  </si>
  <si>
    <t>Freight rail</t>
  </si>
  <si>
    <t>EIA</t>
  </si>
  <si>
    <t>WATS</t>
  </si>
  <si>
    <t>MDOT</t>
  </si>
  <si>
    <t>GDP</t>
  </si>
  <si>
    <t>Community Indicators Data</t>
  </si>
  <si>
    <t>University Population</t>
  </si>
  <si>
    <t>Estimated population of the city, county, and state</t>
  </si>
  <si>
    <t>Estimated households in the city, county, and state</t>
  </si>
  <si>
    <t>Estimated GDP of Ann Arbor</t>
  </si>
  <si>
    <t>Population of students and staff at the Ann Arbor campus of University of Michigan</t>
  </si>
  <si>
    <t>Heating and Cooling Degree Days</t>
  </si>
  <si>
    <t>Annual total of heating and cooling degree days in Ann Arbor</t>
  </si>
  <si>
    <t>Emission factors for combustion of natural gas, propane, and fuel oil</t>
  </si>
  <si>
    <t>Emission factors associated with upstream processes of natural gas and propane</t>
  </si>
  <si>
    <t>Grid Electricity Emission Factor</t>
  </si>
  <si>
    <t>Emission factor for consumption of grid electricity</t>
  </si>
  <si>
    <t>On-Road Transportation Emission Factors</t>
  </si>
  <si>
    <t>Off-Road Transportation Emission Factors</t>
  </si>
  <si>
    <t>Commuting Emission Factors</t>
  </si>
  <si>
    <t>Emission factors for commuting activity</t>
  </si>
  <si>
    <t>Emission factors for on-road passenger and commercial vehicles by vehicle and fuel type</t>
  </si>
  <si>
    <t>Emission factors for off-road vehicles</t>
  </si>
  <si>
    <t xml:space="preserve">State MSW Characterization </t>
  </si>
  <si>
    <t>Landfill Process Emission Factors</t>
  </si>
  <si>
    <t>Biological Treatment of Waste Emission Factor</t>
  </si>
  <si>
    <t>Characterization of municipal solid waste for the state of Michigan</t>
  </si>
  <si>
    <t>Characterization of landfill used for city MSW</t>
  </si>
  <si>
    <t>Emission factor for landfill processes</t>
  </si>
  <si>
    <t>Emission factor for composting organic waste</t>
  </si>
  <si>
    <t>INFORMATION ONLY: Emissions Avoided by Composting</t>
  </si>
  <si>
    <t>Composting Emissions</t>
  </si>
  <si>
    <t>Potential Landfilled Emissions</t>
  </si>
  <si>
    <t>Avoided Emissions</t>
  </si>
  <si>
    <t>Wastewater Process Emission Factor</t>
  </si>
  <si>
    <t>Wastewater Fugitive Emission Factor</t>
  </si>
  <si>
    <t>Emission factor for wastewater process-related emission factors</t>
  </si>
  <si>
    <t>Emission factor for wastewater fugitive emission factors</t>
  </si>
  <si>
    <t>Electricity and Natural Gas Consumption</t>
  </si>
  <si>
    <t>Propane and Fuel Oil Consumption</t>
  </si>
  <si>
    <t>Transmission and Distribution Loss</t>
  </si>
  <si>
    <t>Community-wide electricity and natural gas consumption</t>
  </si>
  <si>
    <t>Sector consumption of propane and fuel oil</t>
  </si>
  <si>
    <t>Transmission and distribution loss factor</t>
  </si>
  <si>
    <t>Electric Vehicle Characterization</t>
  </si>
  <si>
    <t>Bus Data</t>
  </si>
  <si>
    <t>Railway Data</t>
  </si>
  <si>
    <t>Aviation Data</t>
  </si>
  <si>
    <t>In-boundary onroad vehicle miles traveled</t>
  </si>
  <si>
    <t>Vehicle characterization data for Washtenaw County</t>
  </si>
  <si>
    <t>Number of electric vehicles registered in Washtenaw County</t>
  </si>
  <si>
    <t>Fuel consumption of local buses</t>
  </si>
  <si>
    <t>Use of passenger and freight rail</t>
  </si>
  <si>
    <t>Municipal airport fuel consumption</t>
  </si>
  <si>
    <t>Commuting VMT</t>
  </si>
  <si>
    <t>Commuting Data</t>
  </si>
  <si>
    <t>Commuting VMT data for Ann Arbor</t>
  </si>
  <si>
    <t>Solid waste tonnage</t>
  </si>
  <si>
    <t>Closed landfill emissions</t>
  </si>
  <si>
    <t>Amount of MSW, recycling, and organics generated by the community</t>
  </si>
  <si>
    <t>Emissions estimated for closed landfill</t>
  </si>
  <si>
    <t>*Grey cells were found from BTS factsheets</t>
  </si>
  <si>
    <t>FHA</t>
  </si>
  <si>
    <t>mpg</t>
  </si>
  <si>
    <t>Diesel Vehicle Characterization</t>
  </si>
  <si>
    <t>Percent of diesel vehicles by vehicle type</t>
  </si>
  <si>
    <t>Miles per gallon by vehicle type</t>
  </si>
  <si>
    <t>ORNL</t>
  </si>
  <si>
    <t>BTS</t>
  </si>
  <si>
    <t>Years</t>
  </si>
  <si>
    <t>Average age of vehicle by vehicle type</t>
  </si>
  <si>
    <t>CO2 Emission Factor for transportation fuel combustion</t>
  </si>
  <si>
    <t>CH4 and N2O emission factor for transportation fuel combustion</t>
  </si>
  <si>
    <t>g/VMT</t>
  </si>
  <si>
    <t>kg/gal</t>
  </si>
  <si>
    <t>g/gal</t>
  </si>
  <si>
    <t>Emission factors for upstream emissions</t>
  </si>
  <si>
    <t>Upstream Transportation and Distribution and Downstream Transportation and Distribution</t>
  </si>
  <si>
    <t>Emission factor for commuting</t>
  </si>
  <si>
    <t>Full cycle emission factors</t>
  </si>
  <si>
    <t>N/A</t>
  </si>
  <si>
    <t>CH4 and N2O emission factor for buses</t>
  </si>
  <si>
    <t>Carbon Registry</t>
  </si>
  <si>
    <t>Waste characterization of municipal solid waste (state average)</t>
  </si>
  <si>
    <t>Emission factor for composting organics</t>
  </si>
  <si>
    <t>ICLEI ClearPath</t>
  </si>
  <si>
    <t>Details or default values</t>
  </si>
  <si>
    <t>ICLEI and Wastewater Treatment</t>
  </si>
  <si>
    <t>Total consumption provided by DTE</t>
  </si>
  <si>
    <t>CCF and kWh</t>
  </si>
  <si>
    <t>Account manager</t>
  </si>
  <si>
    <t>Scaling factor representing portion of total zipcode within City of Ann Arbor</t>
  </si>
  <si>
    <t>IT</t>
  </si>
  <si>
    <t>Percent of natural gas in the state of Michigan provided by choice natural gas accounts</t>
  </si>
  <si>
    <t>Amount of propane consumed in Ann Arbor residences
1. Number of households using propane as a heating fuel 
2. Total propane consumption for the state of Michigan</t>
  </si>
  <si>
    <t>1. Households
2. Thousand barrels</t>
  </si>
  <si>
    <t>1. EIA 
2. US Census</t>
  </si>
  <si>
    <t>Link / Contact Information</t>
  </si>
  <si>
    <t>Amount consumed by the University of Michigan of:
1. Natural gas
2. Purchased electricity
3. Propane
4. Fuel oil</t>
  </si>
  <si>
    <t>1. CCF
2. kWh
3. CCF
4. Gal</t>
  </si>
  <si>
    <t>State totals of:
1. Direct use
2. Estimated losses
3. Total disposition</t>
  </si>
  <si>
    <t>Reported emissions for University of Michigan's CPP</t>
  </si>
  <si>
    <t>Total natural gas used in University of Michigan's CPP</t>
  </si>
  <si>
    <t>University of Michigan Facilities</t>
  </si>
  <si>
    <t>eGRID</t>
  </si>
  <si>
    <t>Total VMT for in-boundary trips that originate, end, or are fully contained in the City of Ann Arbor</t>
  </si>
  <si>
    <t>Number of electric vehicles registered in 
1. Ann Arbor
2. Washtenaw County</t>
  </si>
  <si>
    <t>Atlas EV Hub</t>
  </si>
  <si>
    <t>Fuel consumption and miles traveled by AAATA buses</t>
  </si>
  <si>
    <t>Gal and VMT</t>
  </si>
  <si>
    <t>AAATA Contact</t>
  </si>
  <si>
    <t>Fuel consumption and miles traveled by UM buses</t>
  </si>
  <si>
    <t>University of Michigan Office of Campus Sustainability</t>
  </si>
  <si>
    <t>Vehicle characterization by vehicle type for vehicles registered in county</t>
  </si>
  <si>
    <t>SEMCOG</t>
  </si>
  <si>
    <t>Number of annual passengers using Ann Arbor Amtrak station</t>
  </si>
  <si>
    <t>Passengers</t>
  </si>
  <si>
    <t>Number of ton-miles using Ann Arbor railroads</t>
  </si>
  <si>
    <t>Ton-miles</t>
  </si>
  <si>
    <t>Amount of fuel consumed at municipal airport</t>
  </si>
  <si>
    <t>Internal contact</t>
  </si>
  <si>
    <t>Means of transportation for Washtenaw County workers</t>
  </si>
  <si>
    <t>People</t>
  </si>
  <si>
    <t xml:space="preserve">Census </t>
  </si>
  <si>
    <t>ACS</t>
  </si>
  <si>
    <t>J</t>
  </si>
  <si>
    <t>Number of inbound and outbound commuters in Ann Arbor by location</t>
  </si>
  <si>
    <t>SEMCOG Commuting Patterns</t>
  </si>
  <si>
    <t>Commuting Patterns</t>
  </si>
  <si>
    <t>Tonnage of MSW, recycling, and composting</t>
  </si>
  <si>
    <t>City of Ann Arbor Public Works</t>
  </si>
  <si>
    <t>City of Ann Arbor Facilities</t>
  </si>
  <si>
    <t>Reported emissions for closed landfill</t>
  </si>
  <si>
    <t>EPA Flight Program</t>
  </si>
  <si>
    <t>L</t>
  </si>
  <si>
    <t>Electricity and natural gas consumption by water and wastewater facilities</t>
  </si>
  <si>
    <t>kWh and CCF</t>
  </si>
  <si>
    <t>DTE Reported Bills</t>
  </si>
  <si>
    <t>Internal</t>
  </si>
  <si>
    <t>University of Michigan Natural Gas Combustion</t>
  </si>
  <si>
    <t>Commercial and Industrial Natural Gas Combustion</t>
  </si>
  <si>
    <t>University of Michigan Propane Combustion</t>
  </si>
  <si>
    <t>University of Michigan Fuel Oil Combustion</t>
  </si>
  <si>
    <t>Emissions Summary for Year-to-Year Comparison</t>
  </si>
  <si>
    <t>Detailed Emissions Summary</t>
  </si>
  <si>
    <t>Emissions Summary by Scope</t>
  </si>
  <si>
    <t>Scope 1</t>
  </si>
  <si>
    <t>Scope 2</t>
  </si>
  <si>
    <t xml:space="preserve">Scope 3 </t>
  </si>
  <si>
    <t>% of Total</t>
  </si>
  <si>
    <t>All Emissions by Sector</t>
  </si>
  <si>
    <t>Buildings</t>
  </si>
  <si>
    <t>Wastewater Treatment</t>
  </si>
  <si>
    <t>All Emissions by Subsector</t>
  </si>
  <si>
    <t>Commercial Buildings</t>
  </si>
  <si>
    <t>Institutional Buildings</t>
  </si>
  <si>
    <t>Local Passenger On-Road Vehicles</t>
  </si>
  <si>
    <t>Local Commercial On-Road Vehicles</t>
  </si>
  <si>
    <t>Commuting Vehicles</t>
  </si>
  <si>
    <t>Bus Transit</t>
  </si>
  <si>
    <t>In-boundary Aviation</t>
  </si>
  <si>
    <t>Composted Waste</t>
  </si>
  <si>
    <t>Subsector</t>
  </si>
  <si>
    <t>All Emissions by Source</t>
  </si>
  <si>
    <t>Building Electricity</t>
  </si>
  <si>
    <t>On-Road Transportation Fuel</t>
  </si>
  <si>
    <t>In-Boundary Aviation</t>
  </si>
  <si>
    <t>Breakdown by Sector</t>
  </si>
  <si>
    <t>Fuel combustion within the city</t>
  </si>
  <si>
    <t>Activity Value</t>
  </si>
  <si>
    <t>Grid-supplied energy (electricity)</t>
  </si>
  <si>
    <t>Fugitive emissions from natural gas systems within the city boundary</t>
  </si>
  <si>
    <t>Total Stationary Energy</t>
  </si>
  <si>
    <t>Commuting</t>
  </si>
  <si>
    <t>Emissions from fuel combustion on-road transportation occurring in the city</t>
  </si>
  <si>
    <t>Emissions from portion of transboundary journeys occurring outside the city boundary</t>
  </si>
  <si>
    <t>Total Transportation</t>
  </si>
  <si>
    <t>Solid waste disposal</t>
  </si>
  <si>
    <t xml:space="preserve">Solid waste treated within the city boundary </t>
  </si>
  <si>
    <t>Closed landfill</t>
  </si>
  <si>
    <t>Solid waste treated outside the city</t>
  </si>
  <si>
    <t>Total Solid Waste Disposal</t>
  </si>
  <si>
    <t>Biological treatment of waste</t>
  </si>
  <si>
    <t>Treated within the city</t>
  </si>
  <si>
    <t>Total Waste</t>
  </si>
  <si>
    <t>Fuel oil</t>
  </si>
  <si>
    <t>CCF (Natural gas only)</t>
  </si>
  <si>
    <t>Transit</t>
  </si>
  <si>
    <t>Generated and treated within the city boundary</t>
  </si>
  <si>
    <t>Process emissions of landfilled waste</t>
  </si>
  <si>
    <t>Total solid waste</t>
  </si>
  <si>
    <t>1 and 3</t>
  </si>
  <si>
    <t>GPC No.</t>
  </si>
  <si>
    <t>I</t>
  </si>
  <si>
    <t>1.1.2</t>
  </si>
  <si>
    <t>1.1.3</t>
  </si>
  <si>
    <t>II</t>
  </si>
  <si>
    <t>II.1</t>
  </si>
  <si>
    <t>On-road Transportation</t>
  </si>
  <si>
    <t>II.2</t>
  </si>
  <si>
    <t>II.4</t>
  </si>
  <si>
    <t>III</t>
  </si>
  <si>
    <t>III.1</t>
  </si>
  <si>
    <t>IV.2</t>
  </si>
  <si>
    <t>III.2</t>
  </si>
  <si>
    <t>III.4</t>
  </si>
  <si>
    <t>Therm</t>
  </si>
  <si>
    <t>Natural Gas (Local Fugitive Emissions)</t>
  </si>
  <si>
    <t>Natural Gas (Upstream Emissions)</t>
  </si>
  <si>
    <t>Propane (Upstream Emissions)</t>
  </si>
  <si>
    <t>Fuel Oil (Upstream Emissions)</t>
  </si>
  <si>
    <t>Fuel Oil Upstream Emissions</t>
  </si>
  <si>
    <t>Upsteram Emission Factors</t>
  </si>
  <si>
    <t>Natural Gas Fugitive Emission Factor</t>
  </si>
  <si>
    <t>Natural Gas Upstream Emissions</t>
  </si>
  <si>
    <t>population</t>
  </si>
  <si>
    <t>**Upstream sector includes transmission and distribution losses and local fugitive emissions associated with built environment emissions</t>
  </si>
  <si>
    <t>**Upstream emissions included with each fuel they are attributed to</t>
  </si>
  <si>
    <t>Propane Use</t>
  </si>
  <si>
    <t>Propane Use per Capita</t>
  </si>
  <si>
    <t>Propane Use per Household</t>
  </si>
  <si>
    <t>Propane Use Emissions</t>
  </si>
  <si>
    <t>Propane Use Emissions per Capita</t>
  </si>
  <si>
    <t>Propane Use Emissions per Household</t>
  </si>
  <si>
    <t>Fuel Oil Use</t>
  </si>
  <si>
    <t>Fuel Oil Use Emissions</t>
  </si>
  <si>
    <t>Propane Use per UM User</t>
  </si>
  <si>
    <t>Propane Use Emissions per UM User</t>
  </si>
  <si>
    <t>Fuel Oil Use per UM User</t>
  </si>
  <si>
    <t>Fuel Oil Use Emissions per UM User</t>
  </si>
  <si>
    <t>Total Inboundary Onroad Emissions</t>
  </si>
  <si>
    <t>Total Onroad Vehicle Emissions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</si>
</sst>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000"/>
    <numFmt numFmtId="165" formatCode="0.0"/>
    <numFmt numFmtId="166" formatCode="_(* #,##0.0_);_(* \(#,##0.0\);_(* &quot;-&quot;??_);_(@_)"/>
    <numFmt numFmtId="167" formatCode="0.000000000"/>
    <numFmt numFmtId="168" formatCode="_(* #,##0_);_(* \(#,##0\);_(* &quot;-&quot;??_);_(@_)"/>
    <numFmt numFmtId="169" formatCode="_(* #,##0.000_);_(* \(#,##0.000\);_(* &quot;-&quot;??_);_(@_)"/>
    <numFmt numFmtId="170" formatCode="0.0%"/>
    <numFmt numFmtId="171" formatCode="_(* #,##0.0000_);_(* \(#,##0.0000\);_(* &quot;-&quot;??_);_(@_)"/>
    <numFmt numFmtId="172" formatCode="_(&quot;$&quot;* #,##0_);_(&quot;$&quot;* \(#,##0\);_(&quot;$&quot;* &quot;-&quot;??_);_(@_)"/>
    <numFmt numFmtId="173" formatCode="_(* #,##0.000000_);_(* \(#,##0.000000\);_(* &quot;-&quot;??_);_(@_)"/>
    <numFmt numFmtId="174" formatCode="_(* #,##0.0000000_);_(* \(#,##0.0000000\);_(* &quot;-&quot;??_);_(@_)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name val="Arial"/>
      <family val="2"/>
    </font>
    <font>
      <u/>
      <sz val="10"/>
      <color theme="10"/>
      <name val="Arial"/>
      <family val="2"/>
    </font>
    <font>
      <sz val="10"/>
      <name val="MS Sans Serif"/>
      <family val="2"/>
    </font>
    <font>
      <sz val="20"/>
      <color theme="0"/>
      <name val="Calibri Light"/>
      <family val="2"/>
      <scheme val="major"/>
    </font>
    <font>
      <sz val="16"/>
      <color theme="1"/>
      <name val="Calibri Light"/>
      <family val="2"/>
      <scheme val="major"/>
    </font>
    <font>
      <sz val="14"/>
      <color theme="1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1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9" fillId="0" borderId="20" applyNumberFormat="0" applyFill="0" applyAlignment="0" applyProtection="0"/>
    <xf numFmtId="0" fontId="10" fillId="0" borderId="21" applyNumberFormat="0" applyFill="0" applyAlignment="0" applyProtection="0"/>
    <xf numFmtId="0" fontId="11" fillId="0" borderId="22" applyNumberFormat="0" applyFill="0" applyAlignment="0" applyProtection="0"/>
    <xf numFmtId="44" fontId="1" fillId="0" borderId="0" applyFont="0" applyFill="0" applyBorder="0" applyAlignment="0" applyProtection="0"/>
    <xf numFmtId="0" fontId="12" fillId="0" borderId="0"/>
    <xf numFmtId="0" fontId="13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7" fillId="5" borderId="0"/>
    <xf numFmtId="0" fontId="15" fillId="3" borderId="0"/>
    <xf numFmtId="0" fontId="1" fillId="4" borderId="23" applyNumberFormat="0" applyAlignment="0">
      <alignment horizontal="center"/>
    </xf>
    <xf numFmtId="170" fontId="1" fillId="7" borderId="23" applyNumberFormat="0" applyAlignment="0"/>
  </cellStyleXfs>
  <cellXfs count="316">
    <xf numFmtId="0" fontId="0" fillId="0" borderId="0" xfId="0"/>
    <xf numFmtId="0" fontId="3" fillId="0" borderId="0" xfId="0" applyFont="1"/>
    <xf numFmtId="0" fontId="4" fillId="0" borderId="0" xfId="4"/>
    <xf numFmtId="0" fontId="5" fillId="0" borderId="0" xfId="0" applyFont="1"/>
    <xf numFmtId="0" fontId="0" fillId="0" borderId="0" xfId="0" applyFont="1"/>
    <xf numFmtId="164" fontId="0" fillId="0" borderId="0" xfId="0" applyNumberFormat="1"/>
    <xf numFmtId="10" fontId="0" fillId="0" borderId="0" xfId="0" applyNumberFormat="1"/>
    <xf numFmtId="0" fontId="0" fillId="0" borderId="0" xfId="0" applyBorder="1"/>
    <xf numFmtId="0" fontId="0" fillId="2" borderId="0" xfId="0" applyFill="1"/>
    <xf numFmtId="10" fontId="0" fillId="0" borderId="0" xfId="2" applyNumberFormat="1" applyFont="1"/>
    <xf numFmtId="0" fontId="0" fillId="0" borderId="0" xfId="0" applyAlignment="1">
      <alignment wrapText="1"/>
    </xf>
    <xf numFmtId="165" fontId="0" fillId="0" borderId="0" xfId="0" applyNumberFormat="1"/>
    <xf numFmtId="0" fontId="0" fillId="0" borderId="9" xfId="0" applyBorder="1"/>
    <xf numFmtId="0" fontId="0" fillId="0" borderId="10" xfId="0" applyBorder="1"/>
    <xf numFmtId="0" fontId="0" fillId="0" borderId="0" xfId="0" applyFill="1" applyBorder="1"/>
    <xf numFmtId="1" fontId="0" fillId="0" borderId="0" xfId="0" applyNumberFormat="1"/>
    <xf numFmtId="0" fontId="3" fillId="0" borderId="0" xfId="0" applyFont="1" applyAlignment="1">
      <alignment wrapText="1"/>
    </xf>
    <xf numFmtId="0" fontId="3" fillId="0" borderId="0" xfId="0" applyFont="1" applyAlignment="1"/>
    <xf numFmtId="9" fontId="0" fillId="0" borderId="0" xfId="0" applyNumberFormat="1"/>
    <xf numFmtId="2" fontId="0" fillId="0" borderId="0" xfId="0" applyNumberFormat="1"/>
    <xf numFmtId="169" fontId="0" fillId="0" borderId="0" xfId="1" applyNumberFormat="1" applyFont="1"/>
    <xf numFmtId="168" fontId="3" fillId="0" borderId="0" xfId="1" applyNumberFormat="1" applyFont="1"/>
    <xf numFmtId="0" fontId="0" fillId="0" borderId="7" xfId="0" applyBorder="1"/>
    <xf numFmtId="0" fontId="0" fillId="0" borderId="8" xfId="0" applyBorder="1"/>
    <xf numFmtId="168" fontId="0" fillId="0" borderId="0" xfId="1" applyNumberFormat="1" applyFont="1" applyBorder="1"/>
    <xf numFmtId="0" fontId="3" fillId="3" borderId="0" xfId="0" applyFont="1" applyFill="1"/>
    <xf numFmtId="3" fontId="0" fillId="0" borderId="0" xfId="0" applyNumberFormat="1"/>
    <xf numFmtId="0" fontId="3" fillId="0" borderId="1" xfId="0" applyFont="1" applyBorder="1"/>
    <xf numFmtId="168" fontId="0" fillId="0" borderId="0" xfId="0" applyNumberFormat="1"/>
    <xf numFmtId="43" fontId="0" fillId="0" borderId="0" xfId="0" applyNumberFormat="1"/>
    <xf numFmtId="168" fontId="0" fillId="0" borderId="0" xfId="1" applyNumberFormat="1" applyFont="1"/>
    <xf numFmtId="0" fontId="0" fillId="0" borderId="16" xfId="0" applyBorder="1"/>
    <xf numFmtId="168" fontId="0" fillId="0" borderId="16" xfId="1" applyNumberFormat="1" applyFont="1" applyBorder="1"/>
    <xf numFmtId="0" fontId="5" fillId="0" borderId="16" xfId="0" applyFont="1" applyBorder="1"/>
    <xf numFmtId="168" fontId="0" fillId="0" borderId="16" xfId="0" applyNumberFormat="1" applyBorder="1"/>
    <xf numFmtId="0" fontId="6" fillId="0" borderId="0" xfId="0" applyFont="1"/>
    <xf numFmtId="168" fontId="3" fillId="0" borderId="0" xfId="0" applyNumberFormat="1" applyFont="1"/>
    <xf numFmtId="10" fontId="0" fillId="0" borderId="0" xfId="0" applyNumberFormat="1" applyBorder="1"/>
    <xf numFmtId="171" fontId="0" fillId="0" borderId="0" xfId="1" applyNumberFormat="1" applyFont="1"/>
    <xf numFmtId="0" fontId="0" fillId="0" borderId="0" xfId="0" applyFont="1" applyFill="1" applyBorder="1"/>
    <xf numFmtId="9" fontId="0" fillId="0" borderId="0" xfId="0" applyNumberFormat="1" applyBorder="1"/>
    <xf numFmtId="0" fontId="0" fillId="0" borderId="16" xfId="0" applyFont="1" applyBorder="1"/>
    <xf numFmtId="0" fontId="0" fillId="0" borderId="16" xfId="0" applyFont="1" applyFill="1" applyBorder="1"/>
    <xf numFmtId="0" fontId="0" fillId="0" borderId="16" xfId="0" applyFill="1" applyBorder="1"/>
    <xf numFmtId="0" fontId="0" fillId="0" borderId="0" xfId="0" applyProtection="1">
      <protection locked="0"/>
    </xf>
    <xf numFmtId="0" fontId="0" fillId="0" borderId="2" xfId="0" applyBorder="1" applyAlignment="1" applyProtection="1">
      <alignment wrapText="1"/>
      <protection locked="0"/>
    </xf>
    <xf numFmtId="0" fontId="0" fillId="0" borderId="3" xfId="0" applyBorder="1" applyAlignment="1" applyProtection="1">
      <alignment wrapText="1"/>
      <protection locked="0"/>
    </xf>
    <xf numFmtId="0" fontId="0" fillId="0" borderId="4" xfId="0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0" borderId="6" xfId="0" applyBorder="1" applyProtection="1">
      <protection locked="0"/>
    </xf>
    <xf numFmtId="0" fontId="0" fillId="0" borderId="0" xfId="0" applyBorder="1" applyProtection="1">
      <protection locked="0"/>
    </xf>
    <xf numFmtId="0" fontId="0" fillId="0" borderId="0" xfId="0" applyProtection="1"/>
    <xf numFmtId="0" fontId="3" fillId="0" borderId="0" xfId="0" applyFont="1" applyProtection="1"/>
    <xf numFmtId="0" fontId="5" fillId="0" borderId="0" xfId="0" applyFont="1" applyProtection="1"/>
    <xf numFmtId="2" fontId="0" fillId="0" borderId="0" xfId="0" applyNumberFormat="1" applyProtection="1"/>
    <xf numFmtId="9" fontId="0" fillId="0" borderId="0" xfId="0" applyNumberFormat="1" applyProtection="1"/>
    <xf numFmtId="0" fontId="3" fillId="0" borderId="0" xfId="0" applyFont="1" applyAlignment="1" applyProtection="1">
      <alignment horizontal="left" vertical="center"/>
    </xf>
    <xf numFmtId="0" fontId="3" fillId="0" borderId="0" xfId="0" applyFont="1" applyFill="1" applyAlignment="1" applyProtection="1">
      <alignment horizontal="left" wrapText="1"/>
    </xf>
    <xf numFmtId="0" fontId="0" fillId="0" borderId="0" xfId="0" applyAlignment="1" applyProtection="1">
      <alignment wrapText="1"/>
    </xf>
    <xf numFmtId="0" fontId="3" fillId="0" borderId="0" xfId="0" applyFont="1" applyAlignment="1" applyProtection="1">
      <alignment horizontal="left" vertical="center" wrapText="1"/>
    </xf>
    <xf numFmtId="0" fontId="4" fillId="0" borderId="0" xfId="4" applyProtection="1"/>
    <xf numFmtId="0" fontId="0" fillId="0" borderId="0" xfId="0" applyFont="1" applyAlignment="1" applyProtection="1">
      <alignment horizontal="left" vertical="center"/>
    </xf>
    <xf numFmtId="166" fontId="0" fillId="0" borderId="0" xfId="1" applyNumberFormat="1" applyFont="1" applyBorder="1" applyAlignment="1" applyProtection="1"/>
    <xf numFmtId="0" fontId="0" fillId="0" borderId="0" xfId="0" applyBorder="1" applyAlignment="1" applyProtection="1">
      <protection locked="0"/>
    </xf>
    <xf numFmtId="9" fontId="0" fillId="0" borderId="0" xfId="0" applyNumberFormat="1" applyBorder="1" applyAlignment="1" applyProtection="1">
      <alignment wrapText="1"/>
    </xf>
    <xf numFmtId="0" fontId="0" fillId="0" borderId="0" xfId="0" applyBorder="1" applyAlignment="1" applyProtection="1">
      <alignment wrapText="1"/>
    </xf>
    <xf numFmtId="9" fontId="0" fillId="0" borderId="0" xfId="0" applyNumberFormat="1" applyBorder="1" applyProtection="1"/>
    <xf numFmtId="0" fontId="0" fillId="0" borderId="0" xfId="0" applyFont="1" applyBorder="1" applyProtection="1"/>
    <xf numFmtId="0" fontId="0" fillId="0" borderId="0" xfId="0" applyFont="1" applyBorder="1" applyProtection="1">
      <protection locked="0"/>
    </xf>
    <xf numFmtId="3" fontId="0" fillId="0" borderId="0" xfId="0" applyNumberFormat="1" applyBorder="1"/>
    <xf numFmtId="3" fontId="0" fillId="0" borderId="0" xfId="0" applyNumberFormat="1" applyBorder="1" applyProtection="1">
      <protection locked="0"/>
    </xf>
    <xf numFmtId="9" fontId="0" fillId="0" borderId="0" xfId="0" applyNumberFormat="1" applyBorder="1" applyProtection="1">
      <protection locked="0"/>
    </xf>
    <xf numFmtId="0" fontId="0" fillId="0" borderId="14" xfId="0" applyBorder="1" applyProtection="1">
      <protection locked="0"/>
    </xf>
    <xf numFmtId="168" fontId="0" fillId="0" borderId="0" xfId="1" applyNumberFormat="1" applyFont="1" applyBorder="1" applyProtection="1">
      <protection locked="0"/>
    </xf>
    <xf numFmtId="169" fontId="0" fillId="0" borderId="0" xfId="0" applyNumberFormat="1"/>
    <xf numFmtId="168" fontId="0" fillId="0" borderId="0" xfId="0" applyNumberFormat="1" applyFont="1"/>
    <xf numFmtId="168" fontId="1" fillId="0" borderId="7" xfId="1" applyNumberFormat="1" applyFont="1" applyBorder="1"/>
    <xf numFmtId="168" fontId="1" fillId="0" borderId="17" xfId="1" applyNumberFormat="1" applyFont="1" applyBorder="1"/>
    <xf numFmtId="168" fontId="1" fillId="0" borderId="18" xfId="1" applyNumberFormat="1" applyFont="1" applyBorder="1"/>
    <xf numFmtId="168" fontId="1" fillId="0" borderId="19" xfId="1" applyNumberFormat="1" applyFont="1" applyBorder="1"/>
    <xf numFmtId="0" fontId="10" fillId="0" borderId="21" xfId="6"/>
    <xf numFmtId="0" fontId="11" fillId="0" borderId="22" xfId="7"/>
    <xf numFmtId="0" fontId="11" fillId="0" borderId="22" xfId="7" applyFill="1"/>
    <xf numFmtId="0" fontId="10" fillId="0" borderId="21" xfId="6" applyFill="1"/>
    <xf numFmtId="168" fontId="3" fillId="0" borderId="0" xfId="1" applyNumberFormat="1" applyFont="1" applyAlignment="1">
      <alignment wrapText="1"/>
    </xf>
    <xf numFmtId="168" fontId="5" fillId="0" borderId="16" xfId="1" applyNumberFormat="1" applyFont="1" applyBorder="1"/>
    <xf numFmtId="168" fontId="10" fillId="0" borderId="21" xfId="1" applyNumberFormat="1" applyFont="1" applyBorder="1"/>
    <xf numFmtId="168" fontId="11" fillId="0" borderId="22" xfId="1" applyNumberFormat="1" applyFont="1" applyBorder="1"/>
    <xf numFmtId="0" fontId="0" fillId="0" borderId="0" xfId="1" applyNumberFormat="1" applyFont="1"/>
    <xf numFmtId="0" fontId="2" fillId="0" borderId="20" xfId="3" applyBorder="1"/>
    <xf numFmtId="168" fontId="11" fillId="0" borderId="22" xfId="7" applyNumberFormat="1"/>
    <xf numFmtId="168" fontId="10" fillId="0" borderId="21" xfId="6" applyNumberFormat="1"/>
    <xf numFmtId="172" fontId="0" fillId="0" borderId="0" xfId="8" applyNumberFormat="1" applyFont="1"/>
    <xf numFmtId="9" fontId="3" fillId="0" borderId="0" xfId="0" applyNumberFormat="1" applyFont="1"/>
    <xf numFmtId="0" fontId="5" fillId="0" borderId="0" xfId="0" applyFont="1" applyAlignment="1">
      <alignment horizontal="left" indent="1"/>
    </xf>
    <xf numFmtId="0" fontId="5" fillId="0" borderId="0" xfId="0" applyFont="1" applyAlignment="1">
      <alignment horizontal="left" indent="2"/>
    </xf>
    <xf numFmtId="0" fontId="3" fillId="0" borderId="0" xfId="0" applyFont="1" applyAlignment="1">
      <alignment horizontal="left" indent="1"/>
    </xf>
    <xf numFmtId="0" fontId="0" fillId="0" borderId="0" xfId="0" applyFont="1" applyAlignment="1">
      <alignment horizontal="left" wrapText="1" indent="1"/>
    </xf>
    <xf numFmtId="173" fontId="0" fillId="0" borderId="0" xfId="1" applyNumberFormat="1" applyFont="1"/>
    <xf numFmtId="0" fontId="9" fillId="4" borderId="20" xfId="5" applyFill="1"/>
    <xf numFmtId="168" fontId="0" fillId="0" borderId="24" xfId="0" applyNumberFormat="1" applyBorder="1"/>
    <xf numFmtId="168" fontId="0" fillId="0" borderId="23" xfId="0" applyNumberFormat="1" applyBorder="1"/>
    <xf numFmtId="9" fontId="0" fillId="0" borderId="0" xfId="1" applyNumberFormat="1" applyFont="1"/>
    <xf numFmtId="0" fontId="3" fillId="0" borderId="0" xfId="0" applyFont="1" applyFill="1" applyBorder="1"/>
    <xf numFmtId="0" fontId="0" fillId="0" borderId="0" xfId="0"/>
    <xf numFmtId="164" fontId="3" fillId="0" borderId="0" xfId="0" applyNumberFormat="1" applyFont="1"/>
    <xf numFmtId="0" fontId="5" fillId="0" borderId="0" xfId="0" applyFont="1" applyBorder="1"/>
    <xf numFmtId="168" fontId="0" fillId="0" borderId="0" xfId="0" applyNumberFormat="1" applyBorder="1"/>
    <xf numFmtId="0" fontId="15" fillId="3" borderId="0" xfId="0" applyFont="1" applyFill="1"/>
    <xf numFmtId="0" fontId="0" fillId="3" borderId="0" xfId="0" applyFill="1"/>
    <xf numFmtId="0" fontId="16" fillId="6" borderId="0" xfId="0" applyFont="1" applyFill="1"/>
    <xf numFmtId="0" fontId="0" fillId="6" borderId="0" xfId="0" applyFill="1"/>
    <xf numFmtId="0" fontId="17" fillId="5" borderId="0" xfId="0" applyFont="1" applyFill="1"/>
    <xf numFmtId="0" fontId="0" fillId="5" borderId="0" xfId="0" applyFill="1"/>
    <xf numFmtId="0" fontId="0" fillId="0" borderId="23" xfId="0" applyBorder="1" applyAlignment="1">
      <alignment horizontal="center"/>
    </xf>
    <xf numFmtId="0" fontId="0" fillId="4" borderId="23" xfId="0" applyFill="1" applyBorder="1" applyAlignment="1">
      <alignment horizontal="center"/>
    </xf>
    <xf numFmtId="0" fontId="0" fillId="7" borderId="23" xfId="0" applyFill="1" applyBorder="1" applyAlignment="1">
      <alignment horizontal="center"/>
    </xf>
    <xf numFmtId="0" fontId="17" fillId="5" borderId="0" xfId="47"/>
    <xf numFmtId="0" fontId="15" fillId="3" borderId="0" xfId="48"/>
    <xf numFmtId="0" fontId="15" fillId="3" borderId="0" xfId="48" applyAlignment="1">
      <alignment wrapText="1"/>
    </xf>
    <xf numFmtId="0" fontId="17" fillId="5" borderId="0" xfId="47" applyAlignment="1">
      <alignment wrapText="1"/>
    </xf>
    <xf numFmtId="0" fontId="4" fillId="0" borderId="0" xfId="4" applyAlignment="1">
      <alignment wrapText="1"/>
    </xf>
    <xf numFmtId="0" fontId="0" fillId="4" borderId="23" xfId="0" applyFill="1" applyBorder="1" applyProtection="1">
      <protection locked="0"/>
    </xf>
    <xf numFmtId="0" fontId="0" fillId="4" borderId="23" xfId="0" applyFill="1" applyBorder="1"/>
    <xf numFmtId="0" fontId="3" fillId="0" borderId="0" xfId="0" applyFont="1" applyBorder="1"/>
    <xf numFmtId="0" fontId="3" fillId="4" borderId="23" xfId="0" applyFont="1" applyFill="1" applyBorder="1" applyProtection="1">
      <protection locked="0"/>
    </xf>
    <xf numFmtId="0" fontId="3" fillId="4" borderId="23" xfId="0" applyFont="1" applyFill="1" applyBorder="1"/>
    <xf numFmtId="0" fontId="3" fillId="0" borderId="0" xfId="0" applyFont="1" applyBorder="1" applyProtection="1">
      <protection locked="0"/>
    </xf>
    <xf numFmtId="14" fontId="0" fillId="0" borderId="0" xfId="0" applyNumberFormat="1"/>
    <xf numFmtId="0" fontId="1" fillId="4" borderId="23" xfId="49" applyAlignment="1"/>
    <xf numFmtId="0" fontId="0" fillId="0" borderId="0" xfId="0" applyAlignment="1"/>
    <xf numFmtId="0" fontId="3" fillId="0" borderId="0" xfId="0" applyFont="1" applyFill="1"/>
    <xf numFmtId="0" fontId="3" fillId="8" borderId="0" xfId="0" applyFont="1" applyFill="1"/>
    <xf numFmtId="0" fontId="0" fillId="9" borderId="0" xfId="0" applyFill="1"/>
    <xf numFmtId="0" fontId="0" fillId="9" borderId="0" xfId="0" applyFill="1" applyAlignment="1">
      <alignment wrapText="1"/>
    </xf>
    <xf numFmtId="0" fontId="0" fillId="9" borderId="0" xfId="0" applyFill="1" applyAlignment="1"/>
    <xf numFmtId="164" fontId="0" fillId="9" borderId="0" xfId="0" applyNumberFormat="1" applyFill="1"/>
    <xf numFmtId="0" fontId="15" fillId="9" borderId="0" xfId="48" applyFill="1"/>
    <xf numFmtId="0" fontId="17" fillId="9" borderId="0" xfId="47" applyFill="1"/>
    <xf numFmtId="0" fontId="4" fillId="9" borderId="0" xfId="4" applyFill="1"/>
    <xf numFmtId="0" fontId="3" fillId="9" borderId="0" xfId="0" applyFont="1" applyFill="1"/>
    <xf numFmtId="0" fontId="0" fillId="9" borderId="0" xfId="0" applyFill="1" applyBorder="1"/>
    <xf numFmtId="2" fontId="0" fillId="9" borderId="0" xfId="0" applyNumberFormat="1" applyFill="1"/>
    <xf numFmtId="0" fontId="3" fillId="9" borderId="0" xfId="0" applyFont="1" applyFill="1" applyBorder="1"/>
    <xf numFmtId="0" fontId="1" fillId="9" borderId="23" xfId="49" applyFill="1" applyAlignment="1"/>
    <xf numFmtId="0" fontId="0" fillId="9" borderId="0" xfId="0" applyFill="1" applyBorder="1" applyAlignment="1">
      <alignment horizontal="center"/>
    </xf>
    <xf numFmtId="0" fontId="0" fillId="9" borderId="0" xfId="0" applyFill="1" applyBorder="1" applyProtection="1">
      <protection locked="0"/>
    </xf>
    <xf numFmtId="0" fontId="0" fillId="9" borderId="0" xfId="0" applyFill="1" applyProtection="1"/>
    <xf numFmtId="0" fontId="6" fillId="9" borderId="0" xfId="0" applyFont="1" applyFill="1"/>
    <xf numFmtId="0" fontId="5" fillId="9" borderId="0" xfId="0" applyFont="1" applyFill="1"/>
    <xf numFmtId="0" fontId="0" fillId="9" borderId="0" xfId="0" applyFont="1" applyFill="1" applyAlignment="1" applyProtection="1">
      <alignment horizontal="left" vertical="center" wrapText="1"/>
    </xf>
    <xf numFmtId="166" fontId="4" fillId="9" borderId="0" xfId="4" applyNumberFormat="1" applyFill="1" applyProtection="1"/>
    <xf numFmtId="166" fontId="0" fillId="9" borderId="0" xfId="1" applyNumberFormat="1" applyFont="1" applyFill="1" applyProtection="1"/>
    <xf numFmtId="0" fontId="3" fillId="0" borderId="0" xfId="1" applyNumberFormat="1" applyFont="1" applyBorder="1" applyAlignment="1" applyProtection="1"/>
    <xf numFmtId="0" fontId="3" fillId="0" borderId="0" xfId="0" applyFont="1" applyBorder="1" applyAlignment="1" applyProtection="1">
      <alignment wrapText="1"/>
    </xf>
    <xf numFmtId="0" fontId="1" fillId="4" borderId="23" xfId="49" applyAlignment="1">
      <alignment wrapText="1"/>
    </xf>
    <xf numFmtId="0" fontId="3" fillId="9" borderId="0" xfId="0" applyFont="1" applyFill="1" applyAlignment="1" applyProtection="1">
      <alignment horizontal="left" vertical="center" wrapText="1"/>
    </xf>
    <xf numFmtId="0" fontId="4" fillId="9" borderId="0" xfId="4" applyFill="1" applyProtection="1"/>
    <xf numFmtId="0" fontId="3" fillId="0" borderId="0" xfId="0" applyFont="1" applyBorder="1" applyProtection="1"/>
    <xf numFmtId="0" fontId="3" fillId="9" borderId="0" xfId="0" applyFont="1" applyFill="1" applyProtection="1"/>
    <xf numFmtId="170" fontId="1" fillId="7" borderId="23" xfId="49" applyNumberFormat="1" applyFill="1" applyAlignment="1"/>
    <xf numFmtId="0" fontId="1" fillId="7" borderId="23" xfId="50" applyNumberFormat="1"/>
    <xf numFmtId="168" fontId="1" fillId="4" borderId="23" xfId="49" applyNumberFormat="1" applyAlignment="1"/>
    <xf numFmtId="168" fontId="0" fillId="9" borderId="0" xfId="1" applyNumberFormat="1" applyFont="1" applyFill="1" applyBorder="1"/>
    <xf numFmtId="9" fontId="1" fillId="7" borderId="23" xfId="50" applyNumberFormat="1"/>
    <xf numFmtId="168" fontId="1" fillId="7" borderId="23" xfId="50" applyNumberFormat="1"/>
    <xf numFmtId="168" fontId="1" fillId="7" borderId="11" xfId="50" applyNumberFormat="1" applyBorder="1"/>
    <xf numFmtId="3" fontId="0" fillId="9" borderId="0" xfId="0" applyNumberFormat="1" applyFill="1"/>
    <xf numFmtId="0" fontId="3" fillId="4" borderId="23" xfId="49" applyFont="1" applyAlignment="1"/>
    <xf numFmtId="3" fontId="1" fillId="4" borderId="23" xfId="49" applyNumberFormat="1" applyAlignment="1"/>
    <xf numFmtId="0" fontId="3" fillId="4" borderId="25" xfId="49" applyFont="1" applyBorder="1" applyAlignment="1"/>
    <xf numFmtId="0" fontId="1" fillId="4" borderId="25" xfId="49" applyBorder="1" applyAlignment="1"/>
    <xf numFmtId="0" fontId="1" fillId="4" borderId="25" xfId="49" applyBorder="1" applyAlignment="1">
      <alignment wrapText="1"/>
    </xf>
    <xf numFmtId="0" fontId="0" fillId="9" borderId="0" xfId="0" applyFont="1" applyFill="1"/>
    <xf numFmtId="10" fontId="4" fillId="9" borderId="0" xfId="4" applyNumberFormat="1" applyFill="1" applyBorder="1"/>
    <xf numFmtId="10" fontId="0" fillId="9" borderId="0" xfId="0" applyNumberFormat="1" applyFill="1" applyBorder="1"/>
    <xf numFmtId="168" fontId="4" fillId="9" borderId="0" xfId="4" applyNumberFormat="1" applyFill="1"/>
    <xf numFmtId="0" fontId="1" fillId="4" borderId="24" xfId="49" applyBorder="1" applyAlignment="1"/>
    <xf numFmtId="168" fontId="0" fillId="9" borderId="0" xfId="0" applyNumberFormat="1" applyFill="1"/>
    <xf numFmtId="3" fontId="1" fillId="7" borderId="23" xfId="50" applyNumberFormat="1"/>
    <xf numFmtId="9" fontId="0" fillId="9" borderId="0" xfId="0" applyNumberFormat="1" applyFill="1"/>
    <xf numFmtId="0" fontId="1" fillId="4" borderId="23" xfId="49" applyNumberFormat="1" applyAlignment="1"/>
    <xf numFmtId="0" fontId="0" fillId="0" borderId="14" xfId="0" applyBorder="1"/>
    <xf numFmtId="9" fontId="0" fillId="0" borderId="14" xfId="0" applyNumberFormat="1" applyBorder="1"/>
    <xf numFmtId="9" fontId="0" fillId="0" borderId="15" xfId="0" applyNumberFormat="1" applyBorder="1"/>
    <xf numFmtId="9" fontId="0" fillId="0" borderId="14" xfId="0" applyNumberFormat="1" applyBorder="1" applyProtection="1">
      <protection locked="0"/>
    </xf>
    <xf numFmtId="0" fontId="0" fillId="0" borderId="15" xfId="0" applyBorder="1" applyProtection="1">
      <protection locked="0"/>
    </xf>
    <xf numFmtId="0" fontId="3" fillId="0" borderId="13" xfId="0" applyFont="1" applyBorder="1"/>
    <xf numFmtId="168" fontId="1" fillId="7" borderId="23" xfId="50" applyNumberFormat="1" applyAlignment="1">
      <alignment wrapText="1"/>
    </xf>
    <xf numFmtId="0" fontId="1" fillId="9" borderId="23" xfId="49" applyFill="1" applyAlignment="1">
      <alignment wrapText="1"/>
    </xf>
    <xf numFmtId="0" fontId="0" fillId="9" borderId="0" xfId="0" applyFill="1" applyBorder="1" applyAlignment="1" applyProtection="1">
      <alignment wrapText="1"/>
    </xf>
    <xf numFmtId="168" fontId="0" fillId="9" borderId="0" xfId="1" applyNumberFormat="1" applyFont="1" applyFill="1"/>
    <xf numFmtId="0" fontId="15" fillId="3" borderId="0" xfId="48" applyAlignment="1"/>
    <xf numFmtId="0" fontId="17" fillId="5" borderId="0" xfId="47" applyAlignment="1"/>
    <xf numFmtId="0" fontId="5" fillId="0" borderId="0" xfId="0" applyFont="1" applyAlignment="1"/>
    <xf numFmtId="0" fontId="0" fillId="0" borderId="16" xfId="0" applyBorder="1" applyAlignment="1"/>
    <xf numFmtId="0" fontId="5" fillId="0" borderId="0" xfId="0" applyFont="1" applyAlignment="1">
      <alignment horizontal="left"/>
    </xf>
    <xf numFmtId="0" fontId="0" fillId="0" borderId="0" xfId="0" applyBorder="1" applyAlignment="1"/>
    <xf numFmtId="0" fontId="5" fillId="0" borderId="0" xfId="0" applyFont="1" applyFill="1" applyAlignment="1"/>
    <xf numFmtId="168" fontId="0" fillId="0" borderId="0" xfId="0" applyNumberFormat="1" applyFill="1"/>
    <xf numFmtId="0" fontId="5" fillId="0" borderId="0" xfId="0" applyFont="1" applyFill="1"/>
    <xf numFmtId="0" fontId="0" fillId="0" borderId="0" xfId="0" applyFill="1" applyAlignment="1"/>
    <xf numFmtId="10" fontId="0" fillId="0" borderId="0" xfId="0" applyNumberFormat="1" applyFill="1"/>
    <xf numFmtId="43" fontId="0" fillId="0" borderId="0" xfId="0" applyNumberFormat="1" applyFill="1"/>
    <xf numFmtId="0" fontId="5" fillId="0" borderId="0" xfId="0" applyFont="1" applyFill="1" applyAlignment="1">
      <alignment horizontal="left"/>
    </xf>
    <xf numFmtId="0" fontId="0" fillId="0" borderId="16" xfId="0" applyFill="1" applyBorder="1" applyAlignment="1"/>
    <xf numFmtId="0" fontId="3" fillId="0" borderId="0" xfId="0" applyFont="1" applyFill="1" applyAlignment="1"/>
    <xf numFmtId="0" fontId="0" fillId="0" borderId="0" xfId="0" applyFill="1"/>
    <xf numFmtId="168" fontId="3" fillId="0" borderId="0" xfId="0" applyNumberFormat="1" applyFont="1" applyFill="1" applyAlignment="1"/>
    <xf numFmtId="0" fontId="0" fillId="9" borderId="0" xfId="0" applyFont="1" applyFill="1" applyBorder="1"/>
    <xf numFmtId="43" fontId="0" fillId="0" borderId="16" xfId="0" applyNumberFormat="1" applyBorder="1"/>
    <xf numFmtId="9" fontId="0" fillId="0" borderId="16" xfId="0" applyNumberFormat="1" applyBorder="1"/>
    <xf numFmtId="0" fontId="0" fillId="9" borderId="16" xfId="0" applyFill="1" applyBorder="1"/>
    <xf numFmtId="43" fontId="0" fillId="0" borderId="16" xfId="0" applyNumberFormat="1" applyFill="1" applyBorder="1"/>
    <xf numFmtId="168" fontId="3" fillId="0" borderId="0" xfId="0" applyNumberFormat="1" applyFont="1" applyFill="1"/>
    <xf numFmtId="168" fontId="0" fillId="0" borderId="16" xfId="0" applyNumberFormat="1" applyFill="1" applyBorder="1"/>
    <xf numFmtId="168" fontId="3" fillId="0" borderId="0" xfId="1" applyNumberFormat="1" applyFont="1" applyFill="1"/>
    <xf numFmtId="168" fontId="0" fillId="0" borderId="0" xfId="1" applyNumberFormat="1" applyFont="1" applyFill="1"/>
    <xf numFmtId="168" fontId="0" fillId="9" borderId="0" xfId="0" applyNumberFormat="1" applyFill="1" applyBorder="1"/>
    <xf numFmtId="168" fontId="3" fillId="9" borderId="0" xfId="0" applyNumberFormat="1" applyFont="1" applyFill="1" applyBorder="1"/>
    <xf numFmtId="9" fontId="0" fillId="0" borderId="0" xfId="0" applyNumberFormat="1" applyFill="1"/>
    <xf numFmtId="9" fontId="0" fillId="0" borderId="16" xfId="0" applyNumberFormat="1" applyFill="1" applyBorder="1"/>
    <xf numFmtId="168" fontId="0" fillId="0" borderId="16" xfId="1" applyNumberFormat="1" applyFont="1" applyFill="1" applyBorder="1"/>
    <xf numFmtId="0" fontId="5" fillId="9" borderId="0" xfId="0" applyFont="1" applyFill="1" applyBorder="1"/>
    <xf numFmtId="43" fontId="0" fillId="9" borderId="0" xfId="0" applyNumberFormat="1" applyFill="1" applyBorder="1"/>
    <xf numFmtId="3" fontId="0" fillId="0" borderId="16" xfId="0" applyNumberFormat="1" applyBorder="1"/>
    <xf numFmtId="2" fontId="0" fillId="9" borderId="16" xfId="0" applyNumberFormat="1" applyFill="1" applyBorder="1"/>
    <xf numFmtId="0" fontId="10" fillId="0" borderId="21" xfId="6"/>
    <xf numFmtId="0" fontId="0" fillId="10" borderId="0" xfId="0" applyFont="1" applyFill="1"/>
    <xf numFmtId="0" fontId="0" fillId="0" borderId="26" xfId="0" applyFont="1" applyBorder="1"/>
    <xf numFmtId="0" fontId="0" fillId="10" borderId="26" xfId="0" applyFont="1" applyFill="1" applyBorder="1"/>
    <xf numFmtId="10" fontId="1" fillId="4" borderId="23" xfId="49" applyNumberFormat="1" applyAlignment="1"/>
    <xf numFmtId="0" fontId="3" fillId="11" borderId="0" xfId="0" applyFont="1" applyFill="1"/>
    <xf numFmtId="0" fontId="3" fillId="0" borderId="0" xfId="0" applyFont="1" applyFill="1" applyAlignment="1">
      <alignment wrapText="1"/>
    </xf>
    <xf numFmtId="0" fontId="5" fillId="9" borderId="0" xfId="0" applyFont="1" applyFill="1" applyProtection="1"/>
    <xf numFmtId="0" fontId="3" fillId="12" borderId="0" xfId="0" applyFont="1" applyFill="1" applyAlignment="1" applyProtection="1">
      <alignment horizontal="left" vertical="center" wrapText="1"/>
    </xf>
    <xf numFmtId="0" fontId="3" fillId="13" borderId="0" xfId="0" applyFont="1" applyFill="1" applyAlignment="1">
      <alignment horizontal="center" vertical="center"/>
    </xf>
    <xf numFmtId="0" fontId="3" fillId="13" borderId="0" xfId="0" applyFont="1" applyFill="1" applyAlignment="1">
      <alignment horizontal="center" vertical="center" wrapText="1"/>
    </xf>
    <xf numFmtId="0" fontId="3" fillId="9" borderId="0" xfId="0" applyFont="1" applyFill="1" applyAlignment="1">
      <alignment horizontal="center" vertical="center"/>
    </xf>
    <xf numFmtId="0" fontId="3" fillId="9" borderId="0" xfId="0" applyFont="1" applyFill="1" applyAlignment="1">
      <alignment horizontal="left" indent="1"/>
    </xf>
    <xf numFmtId="0" fontId="5" fillId="9" borderId="0" xfId="0" applyFont="1" applyFill="1" applyAlignment="1">
      <alignment horizontal="left" indent="1"/>
    </xf>
    <xf numFmtId="0" fontId="5" fillId="9" borderId="0" xfId="0" applyFont="1" applyFill="1" applyAlignment="1">
      <alignment horizontal="left" indent="2"/>
    </xf>
    <xf numFmtId="168" fontId="5" fillId="0" borderId="0" xfId="1" applyNumberFormat="1" applyFont="1"/>
    <xf numFmtId="168" fontId="5" fillId="0" borderId="0" xfId="0" applyNumberFormat="1" applyFont="1"/>
    <xf numFmtId="168" fontId="5" fillId="0" borderId="0" xfId="0" applyNumberFormat="1" applyFont="1" applyFill="1"/>
    <xf numFmtId="43" fontId="5" fillId="0" borderId="0" xfId="0" applyNumberFormat="1" applyFont="1" applyFill="1"/>
    <xf numFmtId="0" fontId="3" fillId="15" borderId="0" xfId="0" applyFont="1" applyFill="1" applyAlignment="1">
      <alignment horizontal="left"/>
    </xf>
    <xf numFmtId="0" fontId="6" fillId="0" borderId="27" xfId="0" applyFont="1" applyBorder="1"/>
    <xf numFmtId="0" fontId="3" fillId="0" borderId="27" xfId="0" applyFont="1" applyBorder="1"/>
    <xf numFmtId="0" fontId="3" fillId="9" borderId="27" xfId="0" applyFont="1" applyFill="1" applyBorder="1"/>
    <xf numFmtId="0" fontId="0" fillId="10" borderId="27" xfId="0" applyFont="1" applyFill="1" applyBorder="1"/>
    <xf numFmtId="0" fontId="5" fillId="10" borderId="27" xfId="0" applyFont="1" applyFill="1" applyBorder="1"/>
    <xf numFmtId="9" fontId="0" fillId="0" borderId="0" xfId="0" applyNumberFormat="1" applyFont="1"/>
    <xf numFmtId="11" fontId="0" fillId="0" borderId="0" xfId="0" applyNumberFormat="1" applyFont="1"/>
    <xf numFmtId="11" fontId="0" fillId="9" borderId="0" xfId="0" applyNumberFormat="1" applyFont="1" applyFill="1"/>
    <xf numFmtId="9" fontId="0" fillId="10" borderId="0" xfId="0" applyNumberFormat="1" applyFont="1" applyFill="1"/>
    <xf numFmtId="11" fontId="0" fillId="10" borderId="0" xfId="0" applyNumberFormat="1" applyFont="1" applyFill="1"/>
    <xf numFmtId="9" fontId="0" fillId="10" borderId="26" xfId="0" applyNumberFormat="1" applyFont="1" applyFill="1" applyBorder="1"/>
    <xf numFmtId="11" fontId="0" fillId="10" borderId="26" xfId="0" applyNumberFormat="1" applyFont="1" applyFill="1" applyBorder="1"/>
    <xf numFmtId="167" fontId="0" fillId="0" borderId="0" xfId="0" applyNumberFormat="1" applyFont="1"/>
    <xf numFmtId="167" fontId="0" fillId="10" borderId="0" xfId="0" applyNumberFormat="1" applyFont="1" applyFill="1"/>
    <xf numFmtId="167" fontId="0" fillId="10" borderId="26" xfId="0" applyNumberFormat="1" applyFont="1" applyFill="1" applyBorder="1"/>
    <xf numFmtId="0" fontId="0" fillId="9" borderId="26" xfId="0" applyFont="1" applyFill="1" applyBorder="1"/>
    <xf numFmtId="0" fontId="0" fillId="9" borderId="27" xfId="0" applyFont="1" applyFill="1" applyBorder="1"/>
    <xf numFmtId="0" fontId="3" fillId="10" borderId="27" xfId="0" applyFont="1" applyFill="1" applyBorder="1"/>
    <xf numFmtId="0" fontId="3" fillId="13" borderId="0" xfId="0" applyFont="1" applyFill="1"/>
    <xf numFmtId="0" fontId="3" fillId="0" borderId="16" xfId="0" applyFont="1" applyBorder="1" applyAlignment="1"/>
    <xf numFmtId="168" fontId="3" fillId="0" borderId="0" xfId="1" applyNumberFormat="1" applyFont="1" applyBorder="1"/>
    <xf numFmtId="0" fontId="6" fillId="0" borderId="0" xfId="0" applyFont="1" applyBorder="1"/>
    <xf numFmtId="168" fontId="3" fillId="0" borderId="0" xfId="0" applyNumberFormat="1" applyFont="1" applyBorder="1"/>
    <xf numFmtId="0" fontId="3" fillId="13" borderId="0" xfId="0" applyFont="1" applyFill="1" applyAlignment="1">
      <alignment wrapText="1"/>
    </xf>
    <xf numFmtId="0" fontId="3" fillId="14" borderId="0" xfId="0" applyFont="1" applyFill="1" applyAlignment="1">
      <alignment wrapText="1"/>
    </xf>
    <xf numFmtId="0" fontId="3" fillId="14" borderId="0" xfId="0" applyFont="1" applyFill="1"/>
    <xf numFmtId="168" fontId="3" fillId="14" borderId="0" xfId="1" applyNumberFormat="1" applyFont="1" applyFill="1"/>
    <xf numFmtId="168" fontId="3" fillId="13" borderId="0" xfId="0" applyNumberFormat="1" applyFont="1" applyFill="1"/>
    <xf numFmtId="0" fontId="3" fillId="11" borderId="0" xfId="0" applyFont="1" applyFill="1" applyAlignment="1">
      <alignment wrapText="1"/>
    </xf>
    <xf numFmtId="3" fontId="0" fillId="0" borderId="0" xfId="0" applyNumberFormat="1" applyFill="1"/>
    <xf numFmtId="0" fontId="3" fillId="0" borderId="0" xfId="0" applyFont="1" applyAlignment="1">
      <alignment horizontal="left"/>
    </xf>
    <xf numFmtId="0" fontId="0" fillId="0" borderId="0" xfId="0" applyAlignment="1">
      <alignment horizontal="left" indent="2"/>
    </xf>
    <xf numFmtId="0" fontId="0" fillId="0" borderId="0" xfId="0" applyFill="1" applyAlignment="1">
      <alignment horizontal="left" indent="2"/>
    </xf>
    <xf numFmtId="0" fontId="3" fillId="16" borderId="0" xfId="0" applyFont="1" applyFill="1" applyAlignment="1">
      <alignment wrapText="1"/>
    </xf>
    <xf numFmtId="0" fontId="3" fillId="16" borderId="0" xfId="0" applyFont="1" applyFill="1"/>
    <xf numFmtId="0" fontId="3" fillId="0" borderId="23" xfId="0" applyFont="1" applyFill="1" applyBorder="1" applyAlignment="1">
      <alignment horizontal="left" wrapText="1" indent="2"/>
    </xf>
    <xf numFmtId="0" fontId="3" fillId="0" borderId="23" xfId="0" applyFont="1" applyBorder="1" applyAlignment="1">
      <alignment horizontal="left" wrapText="1" indent="2"/>
    </xf>
    <xf numFmtId="0" fontId="3" fillId="0" borderId="11" xfId="0" applyFont="1" applyBorder="1" applyAlignment="1">
      <alignment horizontal="left" wrapText="1" indent="2"/>
    </xf>
    <xf numFmtId="0" fontId="3" fillId="0" borderId="12" xfId="0" applyFont="1" applyBorder="1" applyAlignment="1">
      <alignment horizontal="left" wrapText="1" indent="4"/>
    </xf>
    <xf numFmtId="0" fontId="3" fillId="0" borderId="28" xfId="0" applyFont="1" applyBorder="1" applyAlignment="1">
      <alignment horizontal="left" wrapText="1" indent="2"/>
    </xf>
    <xf numFmtId="0" fontId="3" fillId="0" borderId="12" xfId="0" applyFont="1" applyBorder="1" applyAlignment="1">
      <alignment horizontal="left" wrapText="1" indent="2"/>
    </xf>
    <xf numFmtId="168" fontId="3" fillId="16" borderId="0" xfId="0" applyNumberFormat="1" applyFont="1" applyFill="1"/>
    <xf numFmtId="170" fontId="0" fillId="0" borderId="0" xfId="0" applyNumberFormat="1"/>
    <xf numFmtId="0" fontId="11" fillId="0" borderId="22" xfId="7" applyAlignment="1">
      <alignment horizontal="left" indent="1"/>
    </xf>
    <xf numFmtId="0" fontId="3" fillId="0" borderId="0" xfId="0" applyFont="1" applyFill="1" applyAlignment="1">
      <alignment horizontal="left" indent="2"/>
    </xf>
    <xf numFmtId="0" fontId="3" fillId="0" borderId="0" xfId="0" applyFont="1" applyFill="1" applyAlignment="1">
      <alignment horizontal="left" indent="1"/>
    </xf>
    <xf numFmtId="0" fontId="3" fillId="10" borderId="0" xfId="0" applyFont="1" applyFill="1"/>
    <xf numFmtId="10" fontId="0" fillId="10" borderId="0" xfId="0" applyNumberFormat="1" applyFont="1" applyFill="1"/>
    <xf numFmtId="10" fontId="0" fillId="0" borderId="0" xfId="0" applyNumberFormat="1" applyFont="1"/>
    <xf numFmtId="43" fontId="0" fillId="10" borderId="0" xfId="1" applyNumberFormat="1" applyFont="1" applyFill="1"/>
    <xf numFmtId="169" fontId="0" fillId="10" borderId="0" xfId="1" applyNumberFormat="1" applyFont="1" applyFill="1"/>
    <xf numFmtId="171" fontId="0" fillId="10" borderId="26" xfId="1" applyNumberFormat="1" applyFont="1" applyFill="1" applyBorder="1"/>
    <xf numFmtId="0" fontId="0" fillId="0" borderId="0" xfId="0" applyFill="1" applyBorder="1" applyAlignment="1"/>
    <xf numFmtId="10" fontId="3" fillId="0" borderId="27" xfId="0" applyNumberFormat="1" applyFont="1" applyBorder="1"/>
    <xf numFmtId="10" fontId="0" fillId="10" borderId="27" xfId="0" applyNumberFormat="1" applyFont="1" applyFill="1" applyBorder="1"/>
    <xf numFmtId="0" fontId="0" fillId="10" borderId="0" xfId="0" applyFont="1" applyFill="1" applyBorder="1"/>
    <xf numFmtId="171" fontId="0" fillId="10" borderId="0" xfId="1" applyNumberFormat="1" applyFont="1" applyFill="1" applyBorder="1"/>
    <xf numFmtId="174" fontId="0" fillId="0" borderId="0" xfId="1" applyNumberFormat="1" applyFont="1"/>
    <xf numFmtId="168" fontId="3" fillId="9" borderId="0" xfId="0" applyNumberFormat="1" applyFont="1" applyFill="1"/>
    <xf numFmtId="0" fontId="6" fillId="9" borderId="0" xfId="0" applyFont="1" applyFill="1" applyAlignment="1">
      <alignment wrapText="1"/>
    </xf>
    <xf numFmtId="0" fontId="3" fillId="13" borderId="0" xfId="0" applyFont="1" applyFill="1" applyAlignment="1">
      <alignment wrapText="1"/>
    </xf>
    <xf numFmtId="0" fontId="3" fillId="0" borderId="12" xfId="0" applyFont="1" applyBorder="1" applyAlignment="1">
      <alignment horizontal="left" vertical="center" wrapText="1" indent="4"/>
    </xf>
    <xf numFmtId="0" fontId="3" fillId="0" borderId="11" xfId="0" applyFont="1" applyBorder="1" applyAlignment="1">
      <alignment horizontal="left" vertical="center" wrapText="1" indent="2"/>
    </xf>
    <xf numFmtId="0" fontId="3" fillId="0" borderId="12" xfId="0" applyFont="1" applyBorder="1" applyAlignment="1">
      <alignment horizontal="left" vertical="center" wrapText="1" indent="2"/>
    </xf>
    <xf numFmtId="0" fontId="3" fillId="0" borderId="28" xfId="0" applyFont="1" applyBorder="1" applyAlignment="1">
      <alignment horizontal="left" vertical="center" wrapText="1" indent="2"/>
    </xf>
    <xf numFmtId="0" fontId="3" fillId="0" borderId="11" xfId="0" applyFont="1" applyFill="1" applyBorder="1" applyAlignment="1">
      <alignment horizontal="left" vertical="center" wrapText="1" indent="2"/>
    </xf>
    <xf numFmtId="0" fontId="3" fillId="0" borderId="12" xfId="0" applyFont="1" applyFill="1" applyBorder="1" applyAlignment="1">
      <alignment horizontal="left" vertical="center" wrapText="1" indent="2"/>
    </xf>
    <xf numFmtId="0" fontId="3" fillId="0" borderId="28" xfId="0" applyFont="1" applyFill="1" applyBorder="1" applyAlignment="1">
      <alignment horizontal="left" vertical="center" wrapText="1" indent="2"/>
    </xf>
    <xf numFmtId="0" fontId="0" fillId="9" borderId="0" xfId="0" applyFill="1" applyAlignment="1">
      <alignment horizontal="left" wrapText="1"/>
    </xf>
  </cellXfs>
  <cellStyles count="51">
    <cellStyle name="Comma" xfId="1" builtinId="3"/>
    <cellStyle name="Comma 2" xfId="11" xr:uid="{B096A16F-506B-4F0A-985B-84A6C0D52807}"/>
    <cellStyle name="Comma 2 2" xfId="12" xr:uid="{F98DB532-154D-48F6-B1E0-5B6261FA9635}"/>
    <cellStyle name="Comma 2 2 2" xfId="13" xr:uid="{948700DC-D186-42A8-87EE-3DCEA66C624F}"/>
    <cellStyle name="Comma 2 3" xfId="14" xr:uid="{F93F801F-3FFF-4078-BFFE-F592A05E51EC}"/>
    <cellStyle name="Comma 2 4" xfId="15" xr:uid="{960364E1-DF26-4C3E-8BE0-8702357332E8}"/>
    <cellStyle name="Comma 3" xfId="16" xr:uid="{EE90CE1E-4552-4BC9-B8AF-7D8AB7DB1DC9}"/>
    <cellStyle name="Comma 3 2" xfId="17" xr:uid="{86BB6DDB-6B56-480F-9D46-8D659259D385}"/>
    <cellStyle name="Comma 3 2 2" xfId="18" xr:uid="{68836308-5097-4B22-BD91-C236119611D4}"/>
    <cellStyle name="Comma 3 3" xfId="19" xr:uid="{F3CC04D6-C689-4EA0-A86A-4E9EF5575B19}"/>
    <cellStyle name="Comma 4" xfId="20" xr:uid="{B4AFC558-5135-42E7-91D3-1B7DCCDF1498}"/>
    <cellStyle name="Comma 4 2" xfId="21" xr:uid="{6FAAE9FD-B1A4-45AE-8304-26DCB9F756F2}"/>
    <cellStyle name="Comma 5" xfId="22" xr:uid="{51B3E8B0-1F7D-4DA1-86AA-DE86B89FA1C7}"/>
    <cellStyle name="Comma 6" xfId="23" xr:uid="{0403628A-FCA1-4E4B-B7EA-5A7C01194889}"/>
    <cellStyle name="Currency" xfId="8" builtinId="4"/>
    <cellStyle name="Heading 1" xfId="5" builtinId="16"/>
    <cellStyle name="Heading 2" xfId="6" builtinId="17"/>
    <cellStyle name="Heading 3" xfId="7" builtinId="18"/>
    <cellStyle name="Hyperlink" xfId="4" builtinId="8"/>
    <cellStyle name="Hyperlink 2" xfId="10" xr:uid="{4C0EB7F9-4FDC-4A6B-82E7-4D1EBAB66F43}"/>
    <cellStyle name="Normal" xfId="0" builtinId="0"/>
    <cellStyle name="Normal 10" xfId="9" xr:uid="{068254E9-F024-4937-88C0-D340C9431CC0}"/>
    <cellStyle name="Normal 11" xfId="24" xr:uid="{EE3A3EAF-FC8A-4931-ADA1-9891926B34DE}"/>
    <cellStyle name="Normal 11 2" xfId="25" xr:uid="{E33A54BE-5671-4461-B510-0FAD1A3539C7}"/>
    <cellStyle name="Normal 11 3" xfId="26" xr:uid="{33847A4E-AEC7-4906-94C6-AA420B687638}"/>
    <cellStyle name="Normal 2" xfId="27" xr:uid="{C88A58D8-8E02-4659-8048-870DD456D040}"/>
    <cellStyle name="Normal 3" xfId="28" xr:uid="{A6441BC9-EBA1-421C-B22F-8D1F17034EAC}"/>
    <cellStyle name="Normal 3 2" xfId="29" xr:uid="{A53BA3C9-9E86-42F8-83F0-AB9BB2A7279F}"/>
    <cellStyle name="Normal 3 2 2" xfId="30" xr:uid="{7A5AEF60-0FB9-4E37-82CA-3A0CDB11E32A}"/>
    <cellStyle name="Normal 4" xfId="31" xr:uid="{97D6745C-9144-4E7C-BE50-ACCC640F0A64}"/>
    <cellStyle name="Normal 4 2" xfId="32" xr:uid="{D5F01F5E-0F9B-4C59-BC50-DB2C73E35D3F}"/>
    <cellStyle name="Normal 4 2 2" xfId="33" xr:uid="{2FF64717-DDE2-43A5-B0BF-0A797B74EDF4}"/>
    <cellStyle name="Normal 4 3" xfId="34" xr:uid="{8F97B8E9-44CF-44EF-93F4-0E6C8F3BE170}"/>
    <cellStyle name="Normal 4 4" xfId="35" xr:uid="{4BF15C3F-57AD-4EA2-9FB5-C280D750B97E}"/>
    <cellStyle name="Normal 5" xfId="36" xr:uid="{27CB7102-65EE-44AC-9E73-435DA3598D20}"/>
    <cellStyle name="Normal 5 2" xfId="37" xr:uid="{1D5DC3AA-4C65-485A-9733-C4588860732A}"/>
    <cellStyle name="Normal 5 2 2" xfId="38" xr:uid="{8CBFB219-C2E4-430F-A803-C3D34AAFD722}"/>
    <cellStyle name="Normal 5 3" xfId="39" xr:uid="{1DEBFC2E-C858-48DF-B041-6A5B6962E59B}"/>
    <cellStyle name="Normal 6" xfId="40" xr:uid="{DF837081-3D3E-4D68-9C05-2BFB0F374545}"/>
    <cellStyle name="Normal 6 2" xfId="41" xr:uid="{BEF4DFB6-2FCE-49D9-AC20-956F80E63A54}"/>
    <cellStyle name="Normal 7" xfId="42" xr:uid="{92E7B404-77FD-44DE-B635-9D8EBA295E07}"/>
    <cellStyle name="Normal 7 2" xfId="43" xr:uid="{F9B577E1-F5A7-4995-A7E4-E74D860982DC}"/>
    <cellStyle name="Normal 8" xfId="44" xr:uid="{3245F7C9-C9E4-4654-8EF2-F99A409E548A}"/>
    <cellStyle name="Normal 8 2" xfId="45" xr:uid="{A503DDDC-59A3-4B40-BE60-64456A560660}"/>
    <cellStyle name="Normal 9" xfId="46" xr:uid="{AD9B0C98-E987-4596-946D-93794A82BBDF}"/>
    <cellStyle name="Percent" xfId="2" builtinId="5"/>
    <cellStyle name="Style 1" xfId="48" xr:uid="{29DCD6A3-68AA-438F-ABDE-087573ACDC0F}"/>
    <cellStyle name="Style 2" xfId="50" xr:uid="{37D4EB70-46B1-4FBE-ACC7-12CD2B4309E9}"/>
    <cellStyle name="Style 3" xfId="47" xr:uid="{82A0872F-ABC6-4415-822F-BFD57227E090}"/>
    <cellStyle name="Style 4" xfId="49" xr:uid="{A812241C-6E86-48A1-9F09-0D62D2959482}"/>
    <cellStyle name="Title" xfId="3" builtinId="15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4" formatCode="0.00%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numFmt numFmtId="164" formatCode="0.0000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numFmt numFmtId="164" formatCode="0.0000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</dxfs>
  <tableStyles count="0" defaultTableStyle="TableStyleMedium2" defaultPivotStyle="PivotStyleLight16"/>
  <colors>
    <mruColors>
      <color rgb="FFFFA7A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onnections" Target="connections.xml"/><Relationship Id="rId33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32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1.xml"/><Relationship Id="rId28" Type="http://schemas.openxmlformats.org/officeDocument/2006/relationships/sheetMetadata" Target="metadata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Relationship Id="rId30" Type="http://schemas.openxmlformats.org/officeDocument/2006/relationships/customXml" Target="../customXml/item1.xml"/><Relationship Id="rId8" Type="http://schemas.openxmlformats.org/officeDocument/2006/relationships/worksheet" Target="worksheets/sheet8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EC6B-4054-8D28-F25138734436}"/>
              </c:ext>
            </c:extLst>
          </c:dPt>
          <c:dPt>
            <c:idx val="1"/>
            <c:bubble3D val="0"/>
            <c:spPr>
              <a:solidFill>
                <a:schemeClr val="accent1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EC6B-4054-8D28-F25138734436}"/>
              </c:ext>
            </c:extLst>
          </c:dPt>
          <c:dPt>
            <c:idx val="2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EC6B-4054-8D28-F25138734436}"/>
              </c:ext>
            </c:extLst>
          </c:dPt>
          <c:dLbls>
            <c:dLbl>
              <c:idx val="0"/>
              <c:layout>
                <c:manualLayout>
                  <c:x val="0.10294117647058823"/>
                  <c:y val="-0.1136363636363636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C6B-4054-8D28-F25138734436}"/>
                </c:ext>
              </c:extLst>
            </c:dLbl>
            <c:dLbl>
              <c:idx val="1"/>
              <c:layout>
                <c:manualLayout>
                  <c:x val="-0.12254901960784313"/>
                  <c:y val="9.4696969696969696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C6B-4054-8D28-F25138734436}"/>
                </c:ext>
              </c:extLst>
            </c:dLbl>
            <c:dLbl>
              <c:idx val="2"/>
              <c:layout>
                <c:manualLayout>
                  <c:x val="-9.3137254901960786E-2"/>
                  <c:y val="-0.1041666666666666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C6B-4054-8D28-F2513873443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'Detailed Emissions Summary'!$A$5:$A$7</c:f>
              <c:strCache>
                <c:ptCount val="3"/>
                <c:pt idx="0">
                  <c:v>Scope 1</c:v>
                </c:pt>
                <c:pt idx="1">
                  <c:v>Scope 2</c:v>
                </c:pt>
                <c:pt idx="2">
                  <c:v>Scope 3 </c:v>
                </c:pt>
              </c:strCache>
            </c:strRef>
          </c:cat>
          <c:val>
            <c:numRef>
              <c:f>'Detailed Emissions Summary'!$B$5:$B$7</c:f>
              <c:numCache>
                <c:formatCode>_(* #,##0_);_(* \(#,##0\);_(* "-"??_);_(@_)</c:formatCode>
                <c:ptCount val="3"/>
                <c:pt idx="0">
                  <c:v>965531.52401363826</c:v>
                </c:pt>
                <c:pt idx="1">
                  <c:v>812840.82009192707</c:v>
                </c:pt>
                <c:pt idx="2">
                  <c:v>331789.07421223103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C6B-4054-8D28-F2513873443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  <c:holeSize val="60"/>
      </c:doughnut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ysClr val="window" lastClr="FFFFFF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ACCB-4661-A215-34C07F981643}"/>
              </c:ext>
            </c:extLst>
          </c:dPt>
          <c:dPt>
            <c:idx val="1"/>
            <c:bubble3D val="0"/>
            <c:spPr>
              <a:solidFill>
                <a:schemeClr val="accent1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ACCB-4661-A215-34C07F981643}"/>
              </c:ext>
            </c:extLst>
          </c:dPt>
          <c:dPt>
            <c:idx val="2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ACCB-4661-A215-34C07F981643}"/>
              </c:ext>
            </c:extLst>
          </c:dPt>
          <c:dPt>
            <c:idx val="3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ACCB-4661-A215-34C07F981643}"/>
              </c:ext>
            </c:extLst>
          </c:dPt>
          <c:dLbls>
            <c:dLbl>
              <c:idx val="0"/>
              <c:layout>
                <c:manualLayout>
                  <c:x val="7.0564516129032265E-2"/>
                  <c:y val="8.4175084175084181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CCB-4661-A215-34C07F981643}"/>
                </c:ext>
              </c:extLst>
            </c:dLbl>
            <c:dLbl>
              <c:idx val="1"/>
              <c:layout>
                <c:manualLayout>
                  <c:x val="-0.10416666666666669"/>
                  <c:y val="-2.525252525252529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CCB-4661-A215-34C07F981643}"/>
                </c:ext>
              </c:extLst>
            </c:dLbl>
            <c:dLbl>
              <c:idx val="2"/>
              <c:layout>
                <c:manualLayout>
                  <c:x val="-7.0564516129032293E-2"/>
                  <c:y val="-0.1094276094276094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CCB-4661-A215-34C07F981643}"/>
                </c:ext>
              </c:extLst>
            </c:dLbl>
            <c:dLbl>
              <c:idx val="3"/>
              <c:layout>
                <c:manualLayout>
                  <c:x val="9.0725806451612906E-2"/>
                  <c:y val="-9.2592592592592587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CCB-4661-A215-34C07F98164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'Detailed Emissions Summary'!$A$12:$A$15</c:f>
              <c:strCache>
                <c:ptCount val="4"/>
                <c:pt idx="0">
                  <c:v>Buildings</c:v>
                </c:pt>
                <c:pt idx="1">
                  <c:v>Transportation</c:v>
                </c:pt>
                <c:pt idx="2">
                  <c:v>Solid Waste</c:v>
                </c:pt>
                <c:pt idx="3">
                  <c:v>Wastewater Treatment</c:v>
                </c:pt>
              </c:strCache>
            </c:strRef>
          </c:cat>
          <c:val>
            <c:numRef>
              <c:f>'Detailed Emissions Summary'!$B$12:$B$15</c:f>
              <c:numCache>
                <c:formatCode>_(* #,##0_);_(* \(#,##0\);_(* "-"??_);_(@_)</c:formatCode>
                <c:ptCount val="4"/>
                <c:pt idx="0">
                  <c:v>1428695.8761611278</c:v>
                </c:pt>
                <c:pt idx="1">
                  <c:v>642823.17906095169</c:v>
                </c:pt>
                <c:pt idx="2">
                  <c:v>37622.910110074998</c:v>
                </c:pt>
                <c:pt idx="3">
                  <c:v>1019.4529856421319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CCB-4661-A215-34C07F98164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  <c:holeSize val="60"/>
      </c:doughnut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7054081027422315E-2"/>
          <c:y val="9.2871833503727755E-2"/>
          <c:w val="0.47017392447053724"/>
          <c:h val="0.79147728971236231"/>
        </c:manualLayout>
      </c:layout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4F3E-4ACA-822A-9EA25552E98D}"/>
              </c:ext>
            </c:extLst>
          </c:dPt>
          <c:dPt>
            <c:idx val="1"/>
            <c:bubble3D val="0"/>
            <c:spPr>
              <a:solidFill>
                <a:schemeClr val="accent1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4F3E-4ACA-822A-9EA25552E98D}"/>
              </c:ext>
            </c:extLst>
          </c:dPt>
          <c:dPt>
            <c:idx val="2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4F3E-4ACA-822A-9EA25552E98D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4F3E-4ACA-822A-9EA25552E98D}"/>
              </c:ext>
            </c:extLst>
          </c:dPt>
          <c:dPt>
            <c:idx val="4"/>
            <c:bubble3D val="0"/>
            <c:spPr>
              <a:solidFill>
                <a:schemeClr val="accent2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4F3E-4ACA-822A-9EA25552E98D}"/>
              </c:ext>
            </c:extLst>
          </c:dPt>
          <c:dPt>
            <c:idx val="5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4F3E-4ACA-822A-9EA25552E98D}"/>
              </c:ext>
            </c:extLst>
          </c:dPt>
          <c:dPt>
            <c:idx val="6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4F3E-4ACA-822A-9EA25552E98D}"/>
              </c:ext>
            </c:extLst>
          </c:dPt>
          <c:dPt>
            <c:idx val="7"/>
            <c:bubble3D val="0"/>
            <c:spPr>
              <a:solidFill>
                <a:schemeClr val="accent2">
                  <a:lumMod val="40000"/>
                  <a:lumOff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4F3E-4ACA-822A-9EA25552E98D}"/>
              </c:ext>
            </c:extLst>
          </c:dPt>
          <c:dPt>
            <c:idx val="8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E-4F3E-4ACA-822A-9EA25552E98D}"/>
              </c:ext>
            </c:extLst>
          </c:dPt>
          <c:dPt>
            <c:idx val="9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4F3E-4ACA-822A-9EA25552E98D}"/>
              </c:ext>
            </c:extLst>
          </c:dPt>
          <c:dPt>
            <c:idx val="10"/>
            <c:bubble3D val="0"/>
            <c:spPr>
              <a:solidFill>
                <a:schemeClr val="accent6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C-4F3E-4ACA-822A-9EA25552E98D}"/>
              </c:ext>
            </c:extLst>
          </c:dPt>
          <c:dPt>
            <c:idx val="11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4F3E-4ACA-822A-9EA25552E98D}"/>
              </c:ext>
            </c:extLst>
          </c:dPt>
          <c:dPt>
            <c:idx val="12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4F3E-4ACA-822A-9EA25552E98D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4F3E-4ACA-822A-9EA25552E98D}"/>
              </c:ext>
            </c:extLst>
          </c:dPt>
          <c:dLbls>
            <c:dLbl>
              <c:idx val="0"/>
              <c:layout>
                <c:manualLayout>
                  <c:x val="6.0893098782138028E-2"/>
                  <c:y val="-9.1116173120728949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F3E-4ACA-822A-9EA25552E98D}"/>
                </c:ext>
              </c:extLst>
            </c:dLbl>
            <c:dLbl>
              <c:idx val="1"/>
              <c:layout>
                <c:manualLayout>
                  <c:x val="8.7956698240866035E-2"/>
                  <c:y val="5.3151100987091804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F3E-4ACA-822A-9EA25552E98D}"/>
                </c:ext>
              </c:extLst>
            </c:dLbl>
            <c:dLbl>
              <c:idx val="2"/>
              <c:layout>
                <c:manualLayout>
                  <c:x val="-6.7658998646820028E-3"/>
                  <c:y val="0.1366742596810934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F3E-4ACA-822A-9EA25552E98D}"/>
                </c:ext>
              </c:extLst>
            </c:dLbl>
            <c:dLbl>
              <c:idx val="3"/>
              <c:layout>
                <c:manualLayout>
                  <c:x val="-6.9914298601714026E-2"/>
                  <c:y val="7.9726651480637817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F3E-4ACA-822A-9EA25552E98D}"/>
                </c:ext>
              </c:extLst>
            </c:dLbl>
            <c:dLbl>
              <c:idx val="4"/>
              <c:layout>
                <c:manualLayout>
                  <c:x val="-9.0211998195760049E-2"/>
                  <c:y val="-6.0744115413819286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F3E-4ACA-822A-9EA25552E98D}"/>
                </c:ext>
              </c:extLst>
            </c:dLbl>
            <c:dLbl>
              <c:idx val="5"/>
              <c:layout>
                <c:manualLayout>
                  <c:x val="-8.7956698240866035E-2"/>
                  <c:y val="-6.8337129840546726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F3E-4ACA-822A-9EA25552E98D}"/>
                </c:ext>
              </c:extLst>
            </c:dLbl>
            <c:dLbl>
              <c:idx val="6"/>
              <c:layout>
                <c:manualLayout>
                  <c:x val="-7.2169598556608053E-2"/>
                  <c:y val="-6.454062262718299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F3E-4ACA-822A-9EA25552E98D}"/>
                </c:ext>
              </c:extLst>
            </c:dLbl>
            <c:dLbl>
              <c:idx val="7"/>
              <c:layout>
                <c:manualLayout>
                  <c:x val="-0.11951319723281938"/>
                  <c:y val="-0.13713697470194755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F3E-4ACA-822A-9EA25552E98D}"/>
                </c:ext>
              </c:extLst>
            </c:dLbl>
            <c:dLbl>
              <c:idx val="8"/>
              <c:layout>
                <c:manualLayout>
                  <c:x val="-0.1195131972328194"/>
                  <c:y val="-9.1424649801298358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F3E-4ACA-822A-9EA25552E98D}"/>
                </c:ext>
              </c:extLst>
            </c:dLbl>
            <c:dLbl>
              <c:idx val="9"/>
              <c:layout>
                <c:manualLayout>
                  <c:x val="-5.1864217667072603E-2"/>
                  <c:y val="-0.1409463351103349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F3E-4ACA-822A-9EA25552E98D}"/>
                </c:ext>
              </c:extLst>
            </c:dLbl>
            <c:dLbl>
              <c:idx val="10"/>
              <c:layout>
                <c:manualLayout>
                  <c:x val="-5.4119183652597457E-2"/>
                  <c:y val="-9.523401020968579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F3E-4ACA-822A-9EA25552E98D}"/>
                </c:ext>
              </c:extLst>
            </c:dLbl>
            <c:dLbl>
              <c:idx val="11"/>
              <c:layout>
                <c:manualLayout>
                  <c:x val="-4.5099319710497875E-3"/>
                  <c:y val="-0.13713697470194755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F3E-4ACA-822A-9EA25552E98D}"/>
                </c:ext>
              </c:extLst>
            </c:dLbl>
            <c:dLbl>
              <c:idx val="12"/>
              <c:layout>
                <c:manualLayout>
                  <c:x val="4.509931971049784E-2"/>
                  <c:y val="-0.1218995330683978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F3E-4ACA-822A-9EA25552E98D}"/>
                </c:ext>
              </c:extLst>
            </c:dLbl>
            <c:dLbl>
              <c:idx val="13"/>
              <c:layout>
                <c:manualLayout>
                  <c:x val="7.8999008378422081E-2"/>
                  <c:y val="-0.11869312689462919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F3E-4ACA-822A-9EA25552E98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'Detailed Emissions Summary'!$A$20:$A$33</c:f>
              <c:strCache>
                <c:ptCount val="14"/>
                <c:pt idx="0">
                  <c:v>Residential Buildings</c:v>
                </c:pt>
                <c:pt idx="1">
                  <c:v>Commercial Buildings</c:v>
                </c:pt>
                <c:pt idx="2">
                  <c:v>Institutional Buildings</c:v>
                </c:pt>
                <c:pt idx="3">
                  <c:v>Upstream Emissions</c:v>
                </c:pt>
                <c:pt idx="4">
                  <c:v>Local Passenger On-Road Vehicles</c:v>
                </c:pt>
                <c:pt idx="5">
                  <c:v>Local Commercial On-Road Vehicles</c:v>
                </c:pt>
                <c:pt idx="6">
                  <c:v>Commuting Vehicles</c:v>
                </c:pt>
                <c:pt idx="7">
                  <c:v>Bus Transit</c:v>
                </c:pt>
                <c:pt idx="8">
                  <c:v>Rail</c:v>
                </c:pt>
                <c:pt idx="9">
                  <c:v>In-boundary Aviation</c:v>
                </c:pt>
                <c:pt idx="10">
                  <c:v>Landfilled Waste</c:v>
                </c:pt>
                <c:pt idx="11">
                  <c:v>Composted Waste</c:v>
                </c:pt>
                <c:pt idx="12">
                  <c:v>Closed Landfill</c:v>
                </c:pt>
                <c:pt idx="13">
                  <c:v>Wastewater Treatment</c:v>
                </c:pt>
              </c:strCache>
            </c:strRef>
          </c:cat>
          <c:val>
            <c:numRef>
              <c:f>'Detailed Emissions Summary'!$B$20:$B$33</c:f>
              <c:numCache>
                <c:formatCode>_(* #,##0_);_(* \(#,##0\);_(* "-"??_);_(@_)</c:formatCode>
                <c:ptCount val="14"/>
                <c:pt idx="0">
                  <c:v>420855.78109808668</c:v>
                </c:pt>
                <c:pt idx="1">
                  <c:v>337130.82661394007</c:v>
                </c:pt>
                <c:pt idx="2">
                  <c:v>615825.91296702879</c:v>
                </c:pt>
                <c:pt idx="3">
                  <c:v>54883.355482071973</c:v>
                </c:pt>
                <c:pt idx="4">
                  <c:v>320559.87062965671</c:v>
                </c:pt>
                <c:pt idx="5">
                  <c:v>27716.443030871407</c:v>
                </c:pt>
                <c:pt idx="6">
                  <c:v>278322.66241965228</c:v>
                </c:pt>
                <c:pt idx="7">
                  <c:v>13274.180599195599</c:v>
                </c:pt>
                <c:pt idx="8">
                  <c:v>135.54488078560004</c:v>
                </c:pt>
                <c:pt idx="9">
                  <c:v>2814.4775007900002</c:v>
                </c:pt>
                <c:pt idx="10">
                  <c:v>16791.394448715</c:v>
                </c:pt>
                <c:pt idx="11">
                  <c:v>890.51566136000008</c:v>
                </c:pt>
                <c:pt idx="12">
                  <c:v>19941</c:v>
                </c:pt>
                <c:pt idx="13">
                  <c:v>1019.4529856421319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F3E-4ACA-822A-9EA25552E9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60"/>
      </c:doughnut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5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7E98-4CE7-832A-12CBEBCE8C6B}"/>
              </c:ext>
            </c:extLst>
          </c:dPt>
          <c:dPt>
            <c:idx val="1"/>
            <c:bubble3D val="0"/>
            <c:spPr>
              <a:solidFill>
                <a:schemeClr val="accent5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7E98-4CE7-832A-12CBEBCE8C6B}"/>
              </c:ext>
            </c:extLst>
          </c:dPt>
          <c:dPt>
            <c:idx val="2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7E98-4CE7-832A-12CBEBCE8C6B}"/>
              </c:ext>
            </c:extLst>
          </c:dPt>
          <c:dPt>
            <c:idx val="3"/>
            <c:bubble3D val="0"/>
            <c:spPr>
              <a:solidFill>
                <a:schemeClr val="accent5">
                  <a:lumMod val="40000"/>
                  <a:lumOff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7E98-4CE7-832A-12CBEBCE8C6B}"/>
              </c:ext>
            </c:extLst>
          </c:dPt>
          <c:dPt>
            <c:idx val="4"/>
            <c:bubble3D val="0"/>
            <c:spPr>
              <a:solidFill>
                <a:schemeClr val="accent2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7E98-4CE7-832A-12CBEBCE8C6B}"/>
              </c:ext>
            </c:extLst>
          </c:dPt>
          <c:dPt>
            <c:idx val="5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7E98-4CE7-832A-12CBEBCE8C6B}"/>
              </c:ext>
            </c:extLst>
          </c:dPt>
          <c:dPt>
            <c:idx val="6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7E98-4CE7-832A-12CBEBCE8C6B}"/>
              </c:ext>
            </c:extLst>
          </c:dPt>
          <c:dPt>
            <c:idx val="7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7E98-4CE7-832A-12CBEBCE8C6B}"/>
              </c:ext>
            </c:extLst>
          </c:dPt>
          <c:dLbls>
            <c:dLbl>
              <c:idx val="0"/>
              <c:layout>
                <c:manualLayout>
                  <c:x val="6.9444444444444337E-2"/>
                  <c:y val="-7.9365079365079416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E98-4CE7-832A-12CBEBCE8C6B}"/>
                </c:ext>
              </c:extLst>
            </c:dLbl>
            <c:dLbl>
              <c:idx val="1"/>
              <c:layout>
                <c:manualLayout>
                  <c:x val="-4.4444444444444418E-2"/>
                  <c:y val="0.12471655328798185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E98-4CE7-832A-12CBEBCE8C6B}"/>
                </c:ext>
              </c:extLst>
            </c:dLbl>
            <c:dLbl>
              <c:idx val="3"/>
              <c:layout>
                <c:manualLayout>
                  <c:x val="-8.6111111111111124E-2"/>
                  <c:y val="8.5034013605442174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E98-4CE7-832A-12CBEBCE8C6B}"/>
                </c:ext>
              </c:extLst>
            </c:dLbl>
            <c:dLbl>
              <c:idx val="4"/>
              <c:layout>
                <c:manualLayout>
                  <c:x val="-7.4999999999999997E-2"/>
                  <c:y val="-0.10770975056689346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E98-4CE7-832A-12CBEBCE8C6B}"/>
                </c:ext>
              </c:extLst>
            </c:dLbl>
            <c:dLbl>
              <c:idx val="5"/>
              <c:layout>
                <c:manualLayout>
                  <c:x val="5.5555555555555046E-3"/>
                  <c:y val="-0.130385487528344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E98-4CE7-832A-12CBEBCE8C6B}"/>
                </c:ext>
              </c:extLst>
            </c:dLbl>
            <c:dLbl>
              <c:idx val="6"/>
              <c:layout>
                <c:manualLayout>
                  <c:x val="-6.9444444444444475E-2"/>
                  <c:y val="-0.11337868480725624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E98-4CE7-832A-12CBEBCE8C6B}"/>
                </c:ext>
              </c:extLst>
            </c:dLbl>
            <c:dLbl>
              <c:idx val="7"/>
              <c:layout>
                <c:manualLayout>
                  <c:x val="6.6666666666666666E-2"/>
                  <c:y val="-0.11337868480725624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98-4CE7-832A-12CBEBCE8C6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'Detailed Emissions Summary'!$A$38:$A$45</c:f>
              <c:strCache>
                <c:ptCount val="8"/>
                <c:pt idx="0">
                  <c:v>Building Electricity</c:v>
                </c:pt>
                <c:pt idx="1">
                  <c:v>Natural Gas</c:v>
                </c:pt>
                <c:pt idx="2">
                  <c:v>Propane</c:v>
                </c:pt>
                <c:pt idx="3">
                  <c:v>Fuel Oil</c:v>
                </c:pt>
                <c:pt idx="4">
                  <c:v>On-Road Transportation Fuel</c:v>
                </c:pt>
                <c:pt idx="5">
                  <c:v>Rail</c:v>
                </c:pt>
                <c:pt idx="6">
                  <c:v>In-Boundary Aviation</c:v>
                </c:pt>
                <c:pt idx="7">
                  <c:v>Waste</c:v>
                </c:pt>
              </c:strCache>
            </c:strRef>
          </c:cat>
          <c:val>
            <c:numRef>
              <c:f>'Detailed Emissions Summary'!$B$38:$B$45</c:f>
              <c:numCache>
                <c:formatCode>_(* #,##0_);_(* \(#,##0\);_(* "-"??_);_(@_)</c:formatCode>
                <c:ptCount val="8"/>
                <c:pt idx="0">
                  <c:v>849515.8374357908</c:v>
                </c:pt>
                <c:pt idx="1">
                  <c:v>576064.45406946901</c:v>
                </c:pt>
                <c:pt idx="2">
                  <c:v>2894.4406809977236</c:v>
                </c:pt>
                <c:pt idx="3">
                  <c:v>221.14397487000002</c:v>
                </c:pt>
                <c:pt idx="4">
                  <c:v>639873.15667937603</c:v>
                </c:pt>
                <c:pt idx="5">
                  <c:v>135.54488078560004</c:v>
                </c:pt>
                <c:pt idx="6">
                  <c:v>2814.4775007900002</c:v>
                </c:pt>
                <c:pt idx="7">
                  <c:v>38642.363095717126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E98-4CE7-832A-12CBEBCE8C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60"/>
      </c:doughnut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167640</xdr:colOff>
      <xdr:row>1</xdr:row>
      <xdr:rowOff>175260</xdr:rowOff>
    </xdr:from>
    <xdr:to>
      <xdr:col>5</xdr:col>
      <xdr:colOff>609600</xdr:colOff>
      <xdr:row>9</xdr:row>
      <xdr:rowOff>7620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3876D8DB-30AC-4AC8-B183-E9F5ED767A8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182880</xdr:colOff>
      <xdr:row>9</xdr:row>
      <xdr:rowOff>0</xdr:rowOff>
    </xdr:from>
    <xdr:to>
      <xdr:col>6</xdr:col>
      <xdr:colOff>845820</xdr:colOff>
      <xdr:row>17</xdr:row>
      <xdr:rowOff>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908D8F9D-42A8-4F62-B27E-B32AD065852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177456</xdr:colOff>
      <xdr:row>17</xdr:row>
      <xdr:rowOff>1778</xdr:rowOff>
    </xdr:from>
    <xdr:to>
      <xdr:col>9</xdr:col>
      <xdr:colOff>124116</xdr:colOff>
      <xdr:row>35</xdr:row>
      <xdr:rowOff>8783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BAB43810-1660-488E-8F9F-796BEBFEA1B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</xdr:col>
      <xdr:colOff>175260</xdr:colOff>
      <xdr:row>34</xdr:row>
      <xdr:rowOff>175260</xdr:rowOff>
    </xdr:from>
    <xdr:to>
      <xdr:col>7</xdr:col>
      <xdr:colOff>281940</xdr:colOff>
      <xdr:row>46</xdr:row>
      <xdr:rowOff>175260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A14582B9-C470-41A3-B7B6-2781F5F5A90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2gov-my.sharepoint.com/personal/tyagerlener_a2gov_org/Documents/3.%20GHG%20Inventory/Templates/GHG%20Inventory_Template_V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ro and Guide"/>
      <sheetName val="Data Sources"/>
      <sheetName val="Conversion Factors"/>
      <sheetName val="A Community Indicators Data"/>
      <sheetName val="B Climate Data"/>
      <sheetName val="C Stationary Fuel Factor Set"/>
    </sheetNames>
    <sheetDataSet>
      <sheetData sheetId="0" refreshError="1"/>
      <sheetData sheetId="1" refreshError="1"/>
      <sheetData sheetId="2">
        <row r="6">
          <cell r="C6">
            <v>28</v>
          </cell>
        </row>
        <row r="7">
          <cell r="C7">
            <v>265</v>
          </cell>
        </row>
        <row r="23">
          <cell r="C23">
            <v>0.90718499999999991</v>
          </cell>
        </row>
      </sheetData>
      <sheetData sheetId="3" refreshError="1"/>
      <sheetData sheetId="4" refreshError="1"/>
      <sheetData sheetId="5">
        <row r="12">
          <cell r="B12">
            <v>4.4999999999999998E-2</v>
          </cell>
        </row>
        <row r="13">
          <cell r="B13">
            <v>3.0000000000000001E-3</v>
          </cell>
        </row>
      </sheetData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D6C603F-A51F-4FA9-A05F-CD84C0089D24}" name="Table1" displayName="Table1" ref="A4:E6" totalsRowShown="0" headerRowDxfId="10">
  <autoFilter ref="A4:E6" xr:uid="{E085783D-8F59-41D5-8A46-C23DC46E76D6}"/>
  <tableColumns count="5">
    <tableColumn id="1" xr3:uid="{5E1051B6-6729-40A3-8438-9439FF2E0B91}" name="Column1" dataDxfId="9"/>
    <tableColumn id="2" xr3:uid="{2ABD3283-073F-47C9-B660-2B6A0312D445}" name="kg CO2 per scf"/>
    <tableColumn id="3" xr3:uid="{06D2D690-3B0F-4B21-9BD7-052227C8355F}" name="g CH4 per scf"/>
    <tableColumn id="4" xr3:uid="{3763EADF-9ACE-4E83-9571-A36F2224E909}" name="g N2O per scf"/>
    <tableColumn id="5" xr3:uid="{3A5BC0F0-4C1A-4E4A-B2FD-1A0AD91FA7D0}" name="MT CO2e/CCF" dataDxfId="8">
      <calculatedColumnFormula>((B5*kg_to_MT)+(C5*g_to_MT*CH4_GWP)+(D5*g_to_MT*N2O_GWP))*s_to_C</calculatedColumnFormula>
    </tableColumn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D3A8BB88-E71B-4F6F-95CD-EF9702297A35}" name="Table2" displayName="Table2" ref="A7:E8" totalsRowShown="0" headerRowDxfId="7">
  <autoFilter ref="A7:E8" xr:uid="{0B863CDA-B477-473A-B439-F07EA887BFA9}"/>
  <tableColumns count="5">
    <tableColumn id="1" xr3:uid="{0F3AD825-8DE4-48C5-BB44-ACEF4066FDDD}" name="Column1" dataDxfId="6"/>
    <tableColumn id="2" xr3:uid="{7B72CEFC-11B4-43ED-BE88-9636D4B9949F}" name="kg CO2 per gal"/>
    <tableColumn id="3" xr3:uid="{F4A76755-1306-4EA7-BD3D-63005841BFE8}" name="g CH4 per gal"/>
    <tableColumn id="4" xr3:uid="{C1FF1FD8-69C1-4133-AA9E-B269418215E8}" name="g N2O per gal"/>
    <tableColumn id="5" xr3:uid="{D1C042F6-B7A1-4B10-97D4-F1A2AC64FB48}" name="MT CO2e/gal" dataDxfId="5">
      <calculatedColumnFormula>(B8*kg_to_MT)+(C8*g_to_MT*CH4_GWP)+(D8*g_to_MT*N2O_GWP)</calculatedColumnFormula>
    </tableColumn>
  </tableColumns>
  <tableStyleInfo name="TableStyleLight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CD3D7644-16F1-44D2-901A-1AE6ADFAA362}" name="Table8" displayName="Table8" ref="B36:D42" totalsRowShown="0">
  <autoFilter ref="B36:D42" xr:uid="{10A5A785-FBE0-492D-8741-84D049507F2C}"/>
  <tableColumns count="3">
    <tableColumn id="1" xr3:uid="{14D2BD32-E4FA-452B-976A-CCAFBBE09128}" name="Column1" dataDxfId="4"/>
    <tableColumn id="2" xr3:uid="{D62601E7-D47D-4126-A43C-FFF35C99613D}" name="DTE"/>
    <tableColumn id="3" xr3:uid="{A85B88FF-CF02-4792-A7C6-19881D9D3227}" name="Regional"/>
  </tableColumns>
  <tableStyleInfo name="TableStyleLight1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5C161F0E-C7C4-44A8-8FC3-B90F6F41166E}" name="Table9" displayName="Table9" ref="B31:D33" totalsRowShown="0">
  <autoFilter ref="B31:D33" xr:uid="{81D5FE9E-4174-4416-820C-51A29867854C}"/>
  <tableColumns count="3">
    <tableColumn id="1" xr3:uid="{308546B4-988E-43F2-841B-31B5C3692B2A}" name="Column1" dataDxfId="3"/>
    <tableColumn id="2" xr3:uid="{3F64B563-9221-4959-B13C-3B08AD6AC349}" name="DTE" dataDxfId="2" dataCellStyle="Percent">
      <calculatedColumnFormula>VALUE(MID(B27,FIND("%",B27)-5,5))/100</calculatedColumnFormula>
    </tableColumn>
    <tableColumn id="3" xr3:uid="{A405FDB8-7B06-4E2C-B9A2-D17A38409188}" name="Regional Average"/>
  </tableColumns>
  <tableStyleInfo name="TableStyleLight1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90504427-C3C4-4721-863D-6D754CDA4431}" name="Table3" displayName="Table3" ref="A5:C8" totalsRowShown="0" headerRowDxfId="1">
  <autoFilter ref="A5:C8" xr:uid="{7276F71A-42BB-4128-BDD6-8321EBB380EA}"/>
  <tableColumns count="3">
    <tableColumn id="1" xr3:uid="{B682D954-147F-4498-9C6A-C6BA3176AD9B}" name="Chemical"/>
    <tableColumn id="2" xr3:uid="{0CA89F51-941E-41F6-94E6-A1E8F979D1B1}" name="Formula"/>
    <tableColumn id="3" xr3:uid="{37790EBA-18F6-4962-824F-5DC29134D037}" name="100 Year GWP"/>
  </tableColumns>
  <tableStyleInfo name="TableStyleLight1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C15D984E-656E-42FE-9D91-EB50725E3F85}" name="Table4" displayName="Table4" ref="A12:D16" totalsRowShown="0">
  <autoFilter ref="A12:D16" xr:uid="{6E2B6428-D920-4F25-B791-330DC6499374}"/>
  <tableColumns count="4">
    <tableColumn id="1" xr3:uid="{207C5F7D-CB49-46D0-857A-D3D83FF1DD3E}" name="From : To"/>
    <tableColumn id="2" xr3:uid="{01148F9E-82A2-4442-BBBD-AA7672512006}" name="C"/>
    <tableColumn id="3" xr3:uid="{8EFD75A5-B717-4200-BF9E-5C3D1BF28BFE}" name="k"/>
    <tableColumn id="4" xr3:uid="{052C85F0-25C5-44CF-BA61-B98D88CA650A}" name="M"/>
  </tableColumns>
  <tableStyleInfo name="TableStyleLight1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D7A67F79-D3FE-4AA6-A8F7-26AE31796327}" name="Table5" displayName="Table5" ref="A19:C25" totalsRowShown="0">
  <autoFilter ref="A19:C25" xr:uid="{541C8275-52CB-4DB7-95F5-A49D7A806D0D}"/>
  <tableColumns count="3">
    <tableColumn id="1" xr3:uid="{08128A34-50D1-4B8B-B041-E45EC77B584A}" name="From : To"/>
    <tableColumn id="2" xr3:uid="{1243EB3B-B3FA-4EE6-B52E-3271CF5CDC2A}" name="kg"/>
    <tableColumn id="3" xr3:uid="{5F583663-EDF7-47FD-BA4C-0F728691412C}" name="Metric Tonnes"/>
  </tableColumns>
  <tableStyleInfo name="TableStyleLight1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DC97AC0-944D-4012-A0C2-5AA1D28DB27F}" name="Table6" displayName="Table6" ref="A28:E34" totalsRowShown="0">
  <autoFilter ref="A28:E34" xr:uid="{99A9FD91-15CB-489F-BBE3-B9921AE82273}"/>
  <tableColumns count="5">
    <tableColumn id="1" xr3:uid="{ED10DF6B-9DB2-4445-9379-F5C8C0EE9AD4}" name="From : To" dataDxfId="0"/>
    <tableColumn id="2" xr3:uid="{CD309AD5-266B-442A-AA82-D279E9980F2F}" name="m3"/>
    <tableColumn id="3" xr3:uid="{AAB98871-0A1F-4157-979C-5E1402F4ABCD}" name="ft3"/>
    <tableColumn id="4" xr3:uid="{C4577F98-E92F-4DA9-ABD0-B14F1553AF5C}" name="gal"/>
    <tableColumn id="5" xr3:uid="{6178FD7B-DC0F-4ADA-A119-9FBE8F2B67D8}" name="CCF">
      <calculatedColumnFormula>C29/100</calculatedColumnFormula>
    </tableColumn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yagerlener@a2gov.org" TargetMode="Externa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hyperlink" Target="https://tedb.ornl.gov/wp-content/uploads/2020/02/TEDB_Ed_38.pdf" TargetMode="External"/><Relationship Id="rId2" Type="http://schemas.openxmlformats.org/officeDocument/2006/relationships/hyperlink" Target="https://www.bts.gov/content/average-age-automobiles-and-trucks-operation-united-states" TargetMode="External"/><Relationship Id="rId1" Type="http://schemas.openxmlformats.org/officeDocument/2006/relationships/hyperlink" Target="https://www.fhwa.dot.gov/policyinformation/statistics/2018/" TargetMode="External"/><Relationship Id="rId5" Type="http://schemas.openxmlformats.org/officeDocument/2006/relationships/printerSettings" Target="../printerSettings/printerSettings9.bin"/><Relationship Id="rId4" Type="http://schemas.openxmlformats.org/officeDocument/2006/relationships/hyperlink" Target="https://www.theclimateregistry.org/wp-content/uploads/2020/04/The-Climate-Registry-2020-Default-Emission-Factor-Document.pdf" TargetMode="Externa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hyperlink" Target="https://www.michigan.gov/documents/deq/480236-14_WMSBF_waste_characterization_report_521920_7.PDF" TargetMode="Externa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michigan.gov/mpsc/0,9535,7-395-93308_93325_93422_94200_94202---,00.html" TargetMode="External"/><Relationship Id="rId2" Type="http://schemas.openxmlformats.org/officeDocument/2006/relationships/hyperlink" Target="https://utilities.fo.umich.edu/services/energy-utilities/business-services/annual-reports/" TargetMode="External"/><Relationship Id="rId1" Type="http://schemas.openxmlformats.org/officeDocument/2006/relationships/hyperlink" Target="https://www.eia.gov/state/seds/data.php?incfile=/state/seds/sep_use/res/use_res_MI.html&amp;sid=MI" TargetMode="External"/><Relationship Id="rId6" Type="http://schemas.openxmlformats.org/officeDocument/2006/relationships/printerSettings" Target="../printerSettings/printerSettings11.bin"/><Relationship Id="rId5" Type="http://schemas.openxmlformats.org/officeDocument/2006/relationships/hyperlink" Target="https://www.epa.gov/egrid/emissions-generation-resource-integrated-database-egrid" TargetMode="External"/><Relationship Id="rId4" Type="http://schemas.openxmlformats.org/officeDocument/2006/relationships/hyperlink" Target="https://www.eia.gov/state/data.php?sid=MI" TargetMode="Externa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hyperlink" Target="https://ocs.umich.edu/resources/sustainability-data/environmental-metrics/" TargetMode="External"/><Relationship Id="rId2" Type="http://schemas.openxmlformats.org/officeDocument/2006/relationships/hyperlink" Target="https://www.amtrak.com/content/dam/projects/dotcom/english/public/documents/corporate/statefactsheets/MICHIGAN18.pdf" TargetMode="External"/><Relationship Id="rId1" Type="http://schemas.openxmlformats.org/officeDocument/2006/relationships/hyperlink" Target="https://www.atlasevhub.com/materials/state-ev-registration-data/" TargetMode="External"/><Relationship Id="rId4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4.bin"/><Relationship Id="rId1" Type="http://schemas.openxmlformats.org/officeDocument/2006/relationships/hyperlink" Target="https://ghgdata.epa.gov/ghgp/service/facilityDetail/2018?id=1006178&amp;ds=E&amp;et=&amp;popup=true" TargetMode="Externa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printerSettings" Target="../printerSettings/printerSettings20.bin"/><Relationship Id="rId1" Type="http://schemas.openxmlformats.org/officeDocument/2006/relationships/hyperlink" Target="https://www.ghgprotocol.org/sites/default/files/ghgp/Global-Warming-Potential-Values%20%28Feb%2016%202016%29_1.pdf" TargetMode="External"/><Relationship Id="rId6" Type="http://schemas.openxmlformats.org/officeDocument/2006/relationships/table" Target="../tables/table8.xml"/><Relationship Id="rId5" Type="http://schemas.openxmlformats.org/officeDocument/2006/relationships/table" Target="../tables/table7.xml"/><Relationship Id="rId4" Type="http://schemas.openxmlformats.org/officeDocument/2006/relationships/table" Target="../tables/table6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bts.gov/content/average-age-automobiles-and-trucks-operation-united-states" TargetMode="External"/><Relationship Id="rId18" Type="http://schemas.openxmlformats.org/officeDocument/2006/relationships/hyperlink" Target="https://www.epa.gov/sites/production/files/2018-03/documents/emission-factors_mar_2018_0.pdf" TargetMode="External"/><Relationship Id="rId26" Type="http://schemas.openxmlformats.org/officeDocument/2006/relationships/hyperlink" Target="https://utilities.fo.umich.edu/services/energy-utilities/business-services/annual-reports/" TargetMode="External"/><Relationship Id="rId3" Type="http://schemas.openxmlformats.org/officeDocument/2006/relationships/hyperlink" Target="https://fred.stlouisfed.org/series/RGMP11460" TargetMode="External"/><Relationship Id="rId21" Type="http://schemas.openxmlformats.org/officeDocument/2006/relationships/hyperlink" Target="https://www.michigan.gov/documents/deq/480236-14_WMSBF_waste_characterization_report_521920_7.PDF" TargetMode="External"/><Relationship Id="rId7" Type="http://schemas.openxmlformats.org/officeDocument/2006/relationships/hyperlink" Target="https://geg2a4cqgdz35lnem46az2tb-wpengine.netdna-ssl.com/files/performance_pdf/Methane_Emissions_Report_2018.pdf" TargetMode="External"/><Relationship Id="rId12" Type="http://schemas.openxmlformats.org/officeDocument/2006/relationships/hyperlink" Target="https://tedb.ornl.gov/wp-content/uploads/2020/02/TEDB_Ed_38.pdf" TargetMode="External"/><Relationship Id="rId17" Type="http://schemas.openxmlformats.org/officeDocument/2006/relationships/hyperlink" Target="https://www.epa.gov/sites/production/files/2018-03/documents/emission-factors_mar_2018_0.pdf" TargetMode="External"/><Relationship Id="rId25" Type="http://schemas.openxmlformats.org/officeDocument/2006/relationships/hyperlink" Target="https://www.eia.gov/state/data.php?sid=MI" TargetMode="External"/><Relationship Id="rId33" Type="http://schemas.openxmlformats.org/officeDocument/2006/relationships/printerSettings" Target="../printerSettings/printerSettings5.bin"/><Relationship Id="rId2" Type="http://schemas.openxmlformats.org/officeDocument/2006/relationships/hyperlink" Target="https://a2gov-my.sharepoint.com/personal/tyagerlener_a2gov_org/Documents/3.%20GHG%20Inventory/GHG%20Estimations/data.census.gov" TargetMode="External"/><Relationship Id="rId16" Type="http://schemas.openxmlformats.org/officeDocument/2006/relationships/hyperlink" Target="https://www.epa.gov/sites/production/files/2018-03/documents/emission-factors_mar_2018_0.pdf" TargetMode="External"/><Relationship Id="rId20" Type="http://schemas.openxmlformats.org/officeDocument/2006/relationships/hyperlink" Target="https://www.theclimateregistry.org/wp-content/uploads/2020/04/The-Climate-Registry-2020-Default-Emission-Factor-Document.pdf" TargetMode="External"/><Relationship Id="rId29" Type="http://schemas.openxmlformats.org/officeDocument/2006/relationships/hyperlink" Target="https://ocs.umich.edu/resources/sustainability-data/environmental-metrics/" TargetMode="External"/><Relationship Id="rId1" Type="http://schemas.openxmlformats.org/officeDocument/2006/relationships/hyperlink" Target="https://a2gov-my.sharepoint.com/personal/tyagerlener_a2gov_org/Documents/3.%20GHG%20Inventory/GHG%20Estimations/data.census.gov" TargetMode="External"/><Relationship Id="rId6" Type="http://schemas.openxmlformats.org/officeDocument/2006/relationships/hyperlink" Target="https://www.epa.gov/sites/production/files/2018-03/documents/emission-factors_mar_2018_0.pdf" TargetMode="External"/><Relationship Id="rId11" Type="http://schemas.openxmlformats.org/officeDocument/2006/relationships/hyperlink" Target="https://www.fhwa.dot.gov/policyinformation/statistics/2018/" TargetMode="External"/><Relationship Id="rId24" Type="http://schemas.openxmlformats.org/officeDocument/2006/relationships/hyperlink" Target="https://ocs.umich.edu/resources/sustainability-data/environmental-metrics/" TargetMode="External"/><Relationship Id="rId32" Type="http://schemas.openxmlformats.org/officeDocument/2006/relationships/hyperlink" Target="https://ghgdata.epa.gov/ghgp/service/facilityDetail/2018?id=1006178&amp;ds=E&amp;et=&amp;popup=true" TargetMode="External"/><Relationship Id="rId5" Type="http://schemas.openxmlformats.org/officeDocument/2006/relationships/hyperlink" Target="https://w2.weather.gov/climate/xmacis.php?wfo=dtx" TargetMode="External"/><Relationship Id="rId15" Type="http://schemas.openxmlformats.org/officeDocument/2006/relationships/hyperlink" Target="https://www.epa.gov/sites/production/files/2018-03/documents/emission-factors_mar_2018_0.pdf" TargetMode="External"/><Relationship Id="rId23" Type="http://schemas.openxmlformats.org/officeDocument/2006/relationships/hyperlink" Target="https://www.eia.gov/state/seds/data.php?incfile=/state/seds/sep_use/res/use_res_MI.html&amp;sid=MI" TargetMode="External"/><Relationship Id="rId28" Type="http://schemas.openxmlformats.org/officeDocument/2006/relationships/hyperlink" Target="https://www.atlasevhub.com/materials/state-ev-registration-data/" TargetMode="External"/><Relationship Id="rId10" Type="http://schemas.openxmlformats.org/officeDocument/2006/relationships/hyperlink" Target="https://newlook.dteenergy.com/wps/wcm/connect/dte-web/home/community-and-news/common/environment/fuel-mix" TargetMode="External"/><Relationship Id="rId19" Type="http://schemas.openxmlformats.org/officeDocument/2006/relationships/hyperlink" Target="https://www.epa.gov/sites/production/files/2018-03/documents/emission-factors_mar_2018_0.pdf" TargetMode="External"/><Relationship Id="rId31" Type="http://schemas.openxmlformats.org/officeDocument/2006/relationships/hyperlink" Target="https://maps.semcog.org/CommutingPatterns/" TargetMode="External"/><Relationship Id="rId4" Type="http://schemas.openxmlformats.org/officeDocument/2006/relationships/hyperlink" Target="https://ocs.umich.edu/resources/sustainability-data/environmental-metrics/" TargetMode="External"/><Relationship Id="rId9" Type="http://schemas.openxmlformats.org/officeDocument/2006/relationships/hyperlink" Target="https://newlook.dteenergy.com/wps/wcm/connect/dte-web/home/community-and-news/common/environment/fuel-mix" TargetMode="External"/><Relationship Id="rId14" Type="http://schemas.openxmlformats.org/officeDocument/2006/relationships/hyperlink" Target="https://www.epa.gov/sites/production/files/2018-03/documents/emission-factors_mar_2018_0.pdf" TargetMode="External"/><Relationship Id="rId22" Type="http://schemas.openxmlformats.org/officeDocument/2006/relationships/hyperlink" Target="https://www.michigan.gov/mpsc/0,9535,7-395-93308_93325_93422_94200_94202---,00.html" TargetMode="External"/><Relationship Id="rId27" Type="http://schemas.openxmlformats.org/officeDocument/2006/relationships/hyperlink" Target="https://www.epa.gov/egrid/emissions-generation-resource-integrated-database-egrid" TargetMode="External"/><Relationship Id="rId30" Type="http://schemas.openxmlformats.org/officeDocument/2006/relationships/hyperlink" Target="https://www.amtrak.com/content/dam/projects/dotcom/english/public/documents/corporate/statefactsheets/MICHIGAN18.pdf" TargetMode="External"/><Relationship Id="rId8" Type="http://schemas.openxmlformats.org/officeDocument/2006/relationships/hyperlink" Target="https://a2gov-my.sharepoint.com/personal/tyagerlener_a2gov_org/Downloads/Methane-Math_Natural-Gas-Report_final.pdf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s://fred.stlouisfed.org/series/RGMP11460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hyperlink" Target="http://https/w2.weather.gov/climate/xmacis.php?wfo=dtx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hyperlink" Target="https://geg2a4cqgdz35lnem46az2tb-wpengine.netdna-ssl.com/files/performance_pdf/Methane_Emissions_Report_2018.pdf" TargetMode="External"/><Relationship Id="rId2" Type="http://schemas.openxmlformats.org/officeDocument/2006/relationships/hyperlink" Target="https://www.epa.gov/sites/production/files/2018-03/documents/emission-factors_mar_2018_0.pdf" TargetMode="External"/><Relationship Id="rId1" Type="http://schemas.openxmlformats.org/officeDocument/2006/relationships/hyperlink" Target="https://a2gov-my.sharepoint.com/personal/tyagerlener_a2gov_org/Downloads/Methane-Math_Natural-Gas-Report_final.pdf" TargetMode="External"/><Relationship Id="rId6" Type="http://schemas.openxmlformats.org/officeDocument/2006/relationships/table" Target="../tables/table2.xml"/><Relationship Id="rId5" Type="http://schemas.openxmlformats.org/officeDocument/2006/relationships/table" Target="../tables/table1.xml"/><Relationship Id="rId4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726D6A-4C4F-4A1E-B02F-5823969EA42A}">
  <sheetPr codeName="Sheet1">
    <tabColor theme="7"/>
  </sheetPr>
  <dimension ref="A1:C53"/>
  <sheetViews>
    <sheetView topLeftCell="A16" workbookViewId="0">
      <selection activeCell="C14" sqref="C14"/>
    </sheetView>
  </sheetViews>
  <sheetFormatPr defaultRowHeight="14.4" x14ac:dyDescent="0.3"/>
  <cols>
    <col min="1" max="1" width="44.77734375" style="104" customWidth="1"/>
    <col min="2" max="2" width="33.33203125" style="104" bestFit="1" customWidth="1"/>
    <col min="3" max="3" width="74.21875" style="104" bestFit="1" customWidth="1"/>
    <col min="4" max="16384" width="8.88671875" style="133"/>
  </cols>
  <sheetData>
    <row r="1" spans="1:3" ht="25.8" x14ac:dyDescent="0.5">
      <c r="A1" s="108" t="s">
        <v>1001</v>
      </c>
      <c r="B1" s="109"/>
      <c r="C1" s="109"/>
    </row>
    <row r="2" spans="1:3" ht="21" x14ac:dyDescent="0.4">
      <c r="A2" s="110" t="s">
        <v>1002</v>
      </c>
      <c r="B2" s="111"/>
      <c r="C2" s="111"/>
    </row>
    <row r="3" spans="1:3" x14ac:dyDescent="0.3">
      <c r="A3" s="133"/>
      <c r="B3" s="133"/>
      <c r="C3" s="133"/>
    </row>
    <row r="4" spans="1:3" x14ac:dyDescent="0.3">
      <c r="A4" s="133" t="s">
        <v>1003</v>
      </c>
      <c r="B4" s="133"/>
      <c r="C4" s="133"/>
    </row>
    <row r="5" spans="1:3" x14ac:dyDescent="0.3">
      <c r="A5" s="133"/>
      <c r="B5" s="133"/>
      <c r="C5" s="133"/>
    </row>
    <row r="6" spans="1:3" ht="18" x14ac:dyDescent="0.35">
      <c r="A6" s="112" t="s">
        <v>1004</v>
      </c>
      <c r="B6" s="113"/>
      <c r="C6" s="113"/>
    </row>
    <row r="7" spans="1:3" x14ac:dyDescent="0.3">
      <c r="A7" s="140" t="s">
        <v>1005</v>
      </c>
      <c r="B7" s="133"/>
      <c r="C7" s="133"/>
    </row>
    <row r="8" spans="1:3" x14ac:dyDescent="0.3">
      <c r="A8" s="140" t="s">
        <v>1087</v>
      </c>
      <c r="B8" s="140" t="s">
        <v>1088</v>
      </c>
      <c r="C8" s="133"/>
    </row>
    <row r="9" spans="1:3" x14ac:dyDescent="0.3">
      <c r="A9" s="114" t="s">
        <v>1006</v>
      </c>
      <c r="B9" s="114" t="s">
        <v>1090</v>
      </c>
      <c r="C9" s="133"/>
    </row>
    <row r="10" spans="1:3" x14ac:dyDescent="0.3">
      <c r="A10" s="115" t="s">
        <v>1007</v>
      </c>
      <c r="B10" s="115" t="s">
        <v>1089</v>
      </c>
      <c r="C10" s="133"/>
    </row>
    <row r="11" spans="1:3" x14ac:dyDescent="0.3">
      <c r="A11" s="116" t="s">
        <v>1008</v>
      </c>
      <c r="B11" s="116" t="s">
        <v>1008</v>
      </c>
      <c r="C11" s="133"/>
    </row>
    <row r="12" spans="1:3" x14ac:dyDescent="0.3">
      <c r="A12" s="145"/>
      <c r="B12" s="133"/>
      <c r="C12" s="133"/>
    </row>
    <row r="13" spans="1:3" x14ac:dyDescent="0.3">
      <c r="A13" s="140" t="s">
        <v>1009</v>
      </c>
      <c r="B13" s="133"/>
      <c r="C13" s="133"/>
    </row>
    <row r="14" spans="1:3" x14ac:dyDescent="0.3">
      <c r="A14" s="115">
        <v>2019</v>
      </c>
      <c r="B14" s="133"/>
      <c r="C14" s="133"/>
    </row>
    <row r="15" spans="1:3" x14ac:dyDescent="0.3">
      <c r="B15" s="133"/>
      <c r="C15" s="133"/>
    </row>
    <row r="16" spans="1:3" s="138" customFormat="1" ht="18" x14ac:dyDescent="0.35">
      <c r="A16" s="117" t="s">
        <v>1010</v>
      </c>
      <c r="B16" s="117"/>
      <c r="C16" s="117"/>
    </row>
    <row r="17" spans="1:3" x14ac:dyDescent="0.3">
      <c r="A17" s="1" t="s">
        <v>1011</v>
      </c>
      <c r="B17" s="104" t="s">
        <v>62</v>
      </c>
      <c r="C17" s="133"/>
    </row>
    <row r="18" spans="1:3" x14ac:dyDescent="0.3">
      <c r="A18" s="1" t="s">
        <v>777</v>
      </c>
      <c r="B18" s="104" t="s">
        <v>1012</v>
      </c>
      <c r="C18" s="133"/>
    </row>
    <row r="19" spans="1:3" x14ac:dyDescent="0.3">
      <c r="A19" s="1" t="s">
        <v>1013</v>
      </c>
      <c r="B19" s="104" t="s">
        <v>1014</v>
      </c>
      <c r="C19" s="133"/>
    </row>
    <row r="20" spans="1:3" x14ac:dyDescent="0.3">
      <c r="A20" s="1" t="s">
        <v>1015</v>
      </c>
      <c r="B20" s="104" t="s">
        <v>1016</v>
      </c>
      <c r="C20" s="133"/>
    </row>
    <row r="21" spans="1:3" x14ac:dyDescent="0.3">
      <c r="A21" s="1" t="s">
        <v>1017</v>
      </c>
      <c r="B21" s="2" t="s">
        <v>1018</v>
      </c>
      <c r="C21" s="133"/>
    </row>
    <row r="22" spans="1:3" x14ac:dyDescent="0.3">
      <c r="A22" s="133"/>
      <c r="B22" s="133"/>
      <c r="C22" s="133"/>
    </row>
    <row r="23" spans="1:3" s="138" customFormat="1" ht="18" x14ac:dyDescent="0.35">
      <c r="A23" s="117" t="s">
        <v>1019</v>
      </c>
      <c r="B23" s="117"/>
      <c r="C23" s="117"/>
    </row>
    <row r="24" spans="1:3" x14ac:dyDescent="0.3">
      <c r="A24" s="1" t="s">
        <v>1020</v>
      </c>
      <c r="B24" s="1" t="s">
        <v>1021</v>
      </c>
      <c r="C24" s="1" t="s">
        <v>1022</v>
      </c>
    </row>
    <row r="25" spans="1:3" x14ac:dyDescent="0.3">
      <c r="A25" s="1" t="s">
        <v>2</v>
      </c>
      <c r="B25" s="2" t="s">
        <v>1151</v>
      </c>
      <c r="C25" s="104" t="s">
        <v>1153</v>
      </c>
    </row>
    <row r="26" spans="1:3" x14ac:dyDescent="0.3">
      <c r="A26" s="1" t="s">
        <v>3</v>
      </c>
      <c r="B26" s="2" t="s">
        <v>1151</v>
      </c>
      <c r="C26" s="104" t="s">
        <v>1154</v>
      </c>
    </row>
    <row r="27" spans="1:3" x14ac:dyDescent="0.3">
      <c r="A27" s="1" t="s">
        <v>1150</v>
      </c>
      <c r="B27" s="2" t="s">
        <v>1151</v>
      </c>
      <c r="C27" s="104" t="s">
        <v>1155</v>
      </c>
    </row>
    <row r="28" spans="1:3" x14ac:dyDescent="0.3">
      <c r="A28" s="1" t="s">
        <v>1152</v>
      </c>
      <c r="B28" s="2" t="s">
        <v>1151</v>
      </c>
      <c r="C28" s="104" t="s">
        <v>1156</v>
      </c>
    </row>
    <row r="29" spans="1:3" x14ac:dyDescent="0.3">
      <c r="A29" s="1" t="s">
        <v>1157</v>
      </c>
      <c r="B29" s="2" t="s">
        <v>69</v>
      </c>
      <c r="C29" s="104" t="s">
        <v>1158</v>
      </c>
    </row>
    <row r="30" spans="1:3" x14ac:dyDescent="0.3">
      <c r="A30" s="1" t="s">
        <v>88</v>
      </c>
      <c r="B30" s="2" t="s">
        <v>87</v>
      </c>
      <c r="C30" s="104" t="s">
        <v>1159</v>
      </c>
    </row>
    <row r="31" spans="1:3" x14ac:dyDescent="0.3">
      <c r="A31" s="1" t="s">
        <v>94</v>
      </c>
      <c r="B31" s="2" t="s">
        <v>87</v>
      </c>
      <c r="C31" s="104" t="s">
        <v>1160</v>
      </c>
    </row>
    <row r="32" spans="1:3" x14ac:dyDescent="0.3">
      <c r="A32" s="1" t="s">
        <v>1161</v>
      </c>
      <c r="B32" s="2" t="s">
        <v>110</v>
      </c>
      <c r="C32" s="104" t="s">
        <v>1162</v>
      </c>
    </row>
    <row r="33" spans="1:3" x14ac:dyDescent="0.3">
      <c r="A33" s="1" t="s">
        <v>1163</v>
      </c>
      <c r="B33" s="2" t="s">
        <v>151</v>
      </c>
      <c r="C33" s="104" t="s">
        <v>1167</v>
      </c>
    </row>
    <row r="34" spans="1:3" x14ac:dyDescent="0.3">
      <c r="A34" s="1" t="s">
        <v>1164</v>
      </c>
      <c r="B34" s="2" t="s">
        <v>151</v>
      </c>
      <c r="C34" s="104" t="s">
        <v>1168</v>
      </c>
    </row>
    <row r="35" spans="1:3" x14ac:dyDescent="0.3">
      <c r="A35" s="1" t="s">
        <v>1165</v>
      </c>
      <c r="B35" s="2" t="s">
        <v>151</v>
      </c>
      <c r="C35" s="104" t="s">
        <v>1166</v>
      </c>
    </row>
    <row r="36" spans="1:3" x14ac:dyDescent="0.3">
      <c r="A36" s="1" t="s">
        <v>1169</v>
      </c>
      <c r="B36" s="2" t="s">
        <v>283</v>
      </c>
      <c r="C36" s="104" t="s">
        <v>1172</v>
      </c>
    </row>
    <row r="37" spans="1:3" x14ac:dyDescent="0.3">
      <c r="A37" s="1" t="s">
        <v>305</v>
      </c>
      <c r="B37" s="2" t="s">
        <v>283</v>
      </c>
      <c r="C37" s="104" t="s">
        <v>1173</v>
      </c>
    </row>
    <row r="38" spans="1:3" x14ac:dyDescent="0.3">
      <c r="A38" s="1" t="s">
        <v>1170</v>
      </c>
      <c r="B38" s="2" t="s">
        <v>283</v>
      </c>
      <c r="C38" s="104" t="s">
        <v>1174</v>
      </c>
    </row>
    <row r="39" spans="1:3" x14ac:dyDescent="0.3">
      <c r="A39" s="1" t="s">
        <v>1171</v>
      </c>
      <c r="B39" s="2" t="s">
        <v>283</v>
      </c>
      <c r="C39" s="104" t="s">
        <v>1175</v>
      </c>
    </row>
    <row r="40" spans="1:3" x14ac:dyDescent="0.3">
      <c r="A40" s="1" t="s">
        <v>1180</v>
      </c>
      <c r="B40" s="2" t="s">
        <v>311</v>
      </c>
      <c r="C40" s="104" t="s">
        <v>1182</v>
      </c>
    </row>
    <row r="41" spans="1:3" x14ac:dyDescent="0.3">
      <c r="A41" s="1" t="s">
        <v>1181</v>
      </c>
      <c r="B41" s="2" t="s">
        <v>311</v>
      </c>
      <c r="C41" s="104" t="s">
        <v>1183</v>
      </c>
    </row>
    <row r="42" spans="1:3" x14ac:dyDescent="0.3">
      <c r="A42" s="1" t="s">
        <v>1184</v>
      </c>
      <c r="B42" s="2" t="s">
        <v>344</v>
      </c>
      <c r="C42" s="104" t="s">
        <v>1187</v>
      </c>
    </row>
    <row r="43" spans="1:3" x14ac:dyDescent="0.3">
      <c r="A43" s="1" t="s">
        <v>1185</v>
      </c>
      <c r="B43" s="2" t="s">
        <v>344</v>
      </c>
      <c r="C43" s="104" t="s">
        <v>1188</v>
      </c>
    </row>
    <row r="44" spans="1:3" x14ac:dyDescent="0.3">
      <c r="A44" s="1" t="s">
        <v>1186</v>
      </c>
      <c r="B44" s="2" t="s">
        <v>344</v>
      </c>
      <c r="C44" s="104" t="s">
        <v>1189</v>
      </c>
    </row>
    <row r="45" spans="1:3" x14ac:dyDescent="0.3">
      <c r="A45" s="1" t="s">
        <v>421</v>
      </c>
      <c r="B45" s="2" t="s">
        <v>420</v>
      </c>
      <c r="C45" s="104" t="s">
        <v>1194</v>
      </c>
    </row>
    <row r="46" spans="1:3" x14ac:dyDescent="0.3">
      <c r="A46" s="1" t="s">
        <v>425</v>
      </c>
      <c r="B46" s="2" t="s">
        <v>420</v>
      </c>
      <c r="C46" s="104" t="s">
        <v>1195</v>
      </c>
    </row>
    <row r="47" spans="1:3" x14ac:dyDescent="0.3">
      <c r="A47" s="1" t="s">
        <v>1190</v>
      </c>
      <c r="B47" s="2" t="s">
        <v>420</v>
      </c>
      <c r="C47" s="104" t="s">
        <v>1196</v>
      </c>
    </row>
    <row r="48" spans="1:3" x14ac:dyDescent="0.3">
      <c r="A48" s="1" t="s">
        <v>1191</v>
      </c>
      <c r="B48" s="2" t="s">
        <v>420</v>
      </c>
      <c r="C48" s="104" t="s">
        <v>1197</v>
      </c>
    </row>
    <row r="49" spans="1:3" x14ac:dyDescent="0.3">
      <c r="A49" s="1" t="s">
        <v>1192</v>
      </c>
      <c r="B49" s="2" t="s">
        <v>420</v>
      </c>
      <c r="C49" s="104" t="s">
        <v>1198</v>
      </c>
    </row>
    <row r="50" spans="1:3" x14ac:dyDescent="0.3">
      <c r="A50" s="1" t="s">
        <v>1193</v>
      </c>
      <c r="B50" s="2" t="s">
        <v>420</v>
      </c>
      <c r="C50" s="104" t="s">
        <v>1199</v>
      </c>
    </row>
    <row r="51" spans="1:3" x14ac:dyDescent="0.3">
      <c r="A51" s="1" t="s">
        <v>1200</v>
      </c>
      <c r="B51" s="2" t="s">
        <v>1201</v>
      </c>
      <c r="C51" s="104" t="s">
        <v>1202</v>
      </c>
    </row>
    <row r="52" spans="1:3" x14ac:dyDescent="0.3">
      <c r="A52" s="1" t="s">
        <v>1203</v>
      </c>
      <c r="B52" s="2" t="s">
        <v>668</v>
      </c>
      <c r="C52" s="104" t="s">
        <v>1205</v>
      </c>
    </row>
    <row r="53" spans="1:3" x14ac:dyDescent="0.3">
      <c r="A53" s="1" t="s">
        <v>1204</v>
      </c>
      <c r="B53" s="2" t="s">
        <v>668</v>
      </c>
      <c r="C53" s="104" t="s">
        <v>1206</v>
      </c>
    </row>
  </sheetData>
  <hyperlinks>
    <hyperlink ref="B21" r:id="rId1" xr:uid="{E99BAEE2-445B-49E9-806B-BEE7D5E74C93}"/>
    <hyperlink ref="B25" location="'A Community Indicators Data'!A1" display="Community Indicators Data" xr:uid="{D5F63B60-6DE6-427C-88F8-A16D3E4966D2}"/>
    <hyperlink ref="B26" location="'A Community Indicators Data'!A1" display="Community Indicators Data" xr:uid="{3453480B-AE3B-44E6-89FE-3803B9D35F49}"/>
    <hyperlink ref="B27" location="'A Community Indicators Data'!A1" display="Community Indicators Data" xr:uid="{52FFCAB2-8129-47A1-9FCF-96E7690F1496}"/>
    <hyperlink ref="B28" location="'A Community Indicators Data'!A1" display="Community Indicators Data" xr:uid="{F78129AF-944C-4252-B4EC-F231917D83F1}"/>
    <hyperlink ref="B29" location="'B Climate Data'!A1" display="Climate Data" xr:uid="{F7B04AEE-F510-45B9-A574-9967F9F37BC0}"/>
    <hyperlink ref="B30" location="'C Stationary Fuel Factor Set'!A1" display="Stationary Fuel Factor Set" xr:uid="{9E40029B-C096-49D4-9E46-50229260B5DE}"/>
    <hyperlink ref="B31" location="'C Stationary Fuel Factor Set'!A1" display="Stationary Fuel Factor Set" xr:uid="{ABD63219-CD61-4D78-B6A4-7CB1D1741974}"/>
    <hyperlink ref="B32" location="'D Grid Energy Factor Set'!A1" display="Grid Energy Factor Set" xr:uid="{B7E260E6-46E4-4DAE-BED4-1721020BC69A}"/>
    <hyperlink ref="B33" location="'E Transportation Factor Set'!A1" display="Transportation Factor Set" xr:uid="{11144393-C620-42A4-9AFA-DCA46B622406}"/>
    <hyperlink ref="B34" location="'E Transportation Factor Set'!A1" display="Transportation Factor Set" xr:uid="{A07088E3-98DB-4E70-BB4D-F02E4BDE1041}"/>
    <hyperlink ref="B35" location="'E Transportation Factor Set'!A1" display="Transportation Factor Set" xr:uid="{D5023699-357B-4C19-A6D0-9F5B0F8B6D65}"/>
    <hyperlink ref="B36" location="'F Solid Waste Factor Set'!A1" display="Solid Waste Factor Set" xr:uid="{B71197CF-BDE5-4CC2-883E-9FAE0B873BD1}"/>
    <hyperlink ref="B37" location="'F Solid Waste Factor Set'!A1" display="Solid Waste Factor Set" xr:uid="{FB802E16-E5EA-404C-9655-A29B30B6777C}"/>
    <hyperlink ref="B38" location="'F Solid Waste Factor Set'!A1" display="Solid Waste Factor Set" xr:uid="{633ECEC0-2986-41E1-A51C-C41318B74B6E}"/>
    <hyperlink ref="B39" location="'F Solid Waste Factor Set'!A1" display="Solid Waste Factor Set" xr:uid="{F72A1DAC-5061-4FBC-8DFD-87C0B258FE30}"/>
    <hyperlink ref="B40" location="'G Wastewater Factor Set'!A1" display="Wastewater Factor Set" xr:uid="{850E5053-5437-4FA2-9B6C-B0F20295130F}"/>
    <hyperlink ref="B41" location="'G Wastewater Factor Set'!A1" display="Wastewater Factor Set" xr:uid="{B29B5D79-D563-4E68-9F28-9F7502D452DB}"/>
    <hyperlink ref="B42" location="'H Built Environment Data'!A1" display="Built Environment Data" xr:uid="{3AA8A8CB-4C7D-4D79-A266-3FDFF2BC235E}"/>
    <hyperlink ref="B43" location="'H Built Environment Data'!A1" display="Built Environment Data" xr:uid="{C9913FB5-E3D2-41FC-983B-D93FD80F44E0}"/>
    <hyperlink ref="B44" location="'H Built Environment Data'!A1" display="Built Environment Data" xr:uid="{1A032994-2140-4EFA-98FF-2CAA90F5B2EF}"/>
    <hyperlink ref="B45" location="'I Transportation Data'!A1" display="Transportation Data" xr:uid="{348B0B28-E38C-43A6-8AC4-E24BAE33B72B}"/>
    <hyperlink ref="B46" location="'I Transportation Data'!A1" display="Transportation Data" xr:uid="{D09339C0-E2D8-489C-898E-C67969C76BDA}"/>
    <hyperlink ref="B47" location="'I Transportation Data'!A1" display="Transportation Data" xr:uid="{EBE74697-A976-4C2B-B7B7-5BCC037C13CE}"/>
    <hyperlink ref="B48" location="'I Transportation Data'!A1" display="Transportation Data" xr:uid="{1D0479DB-A865-4D04-B6E4-4BD5A369F9BA}"/>
    <hyperlink ref="B49" location="'I Transportation Data'!A1" display="Transportation Data" xr:uid="{09BDF66F-29F5-41D8-BD48-E2BC031E0CBF}"/>
    <hyperlink ref="B50" location="'I Transportation Data'!A1" display="Transportation Data" xr:uid="{6183F2D7-B9DE-4A5D-8281-38B321F50DBC}"/>
    <hyperlink ref="B51" location="'J Commuting Data'!A1" display="Commuting Data" xr:uid="{20303F96-188D-45B2-A10D-DE2F72634D09}"/>
    <hyperlink ref="B52" location="'K Solid Waste Data'!A1" display="Solid Waste Data" xr:uid="{73B045C1-FFE1-40B9-968F-8C4C62F49E67}"/>
    <hyperlink ref="B53" location="'K Solid Waste Data'!A1" display="Solid Waste Data" xr:uid="{390B3534-F207-4F6A-BEEF-553ADAB030E9}"/>
  </hyperlinks>
  <pageMargins left="0.7" right="0.7" top="0.75" bottom="0.75" header="0.3" footer="0.3"/>
  <pageSetup orientation="portrait" horizontalDpi="300" verticalDpi="300"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7">
    <tabColor theme="4" tint="0.39997558519241921"/>
  </sheetPr>
  <dimension ref="A1:AX189"/>
  <sheetViews>
    <sheetView topLeftCell="A76" workbookViewId="0">
      <selection activeCell="U76" sqref="U76"/>
    </sheetView>
  </sheetViews>
  <sheetFormatPr defaultColWidth="8.88671875" defaultRowHeight="14.4" x14ac:dyDescent="0.3"/>
  <cols>
    <col min="1" max="1" width="28.77734375" style="147" customWidth="1"/>
    <col min="2" max="2" width="18.5546875" style="147" customWidth="1"/>
    <col min="3" max="3" width="24.5546875" style="147" bestFit="1" customWidth="1"/>
    <col min="4" max="4" width="18.77734375" style="147" customWidth="1"/>
    <col min="5" max="5" width="13.33203125" style="147" bestFit="1" customWidth="1"/>
    <col min="6" max="6" width="12" style="147" bestFit="1" customWidth="1"/>
    <col min="7" max="7" width="14.21875" style="147" bestFit="1" customWidth="1"/>
    <col min="8" max="8" width="12" style="147" bestFit="1" customWidth="1"/>
    <col min="9" max="16384" width="8.88671875" style="147"/>
  </cols>
  <sheetData>
    <row r="1" spans="1:50" s="137" customFormat="1" ht="25.8" x14ac:dyDescent="0.5">
      <c r="A1" s="118" t="s">
        <v>151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118"/>
      <c r="S1" s="118"/>
      <c r="T1" s="118"/>
      <c r="U1" s="118"/>
      <c r="V1" s="118"/>
      <c r="W1" s="118"/>
      <c r="X1" s="118"/>
      <c r="Y1" s="118"/>
      <c r="Z1" s="118"/>
      <c r="AA1" s="118"/>
      <c r="AB1" s="118"/>
      <c r="AC1" s="118"/>
      <c r="AD1" s="118"/>
      <c r="AE1" s="118"/>
      <c r="AF1" s="118"/>
      <c r="AG1" s="118"/>
      <c r="AH1" s="118"/>
      <c r="AI1" s="118"/>
      <c r="AJ1" s="118"/>
      <c r="AK1" s="118"/>
      <c r="AL1" s="118"/>
      <c r="AM1" s="118"/>
      <c r="AN1" s="118"/>
      <c r="AO1" s="118"/>
      <c r="AP1" s="118"/>
      <c r="AQ1" s="118"/>
      <c r="AR1" s="118"/>
      <c r="AS1" s="118"/>
      <c r="AT1" s="118"/>
      <c r="AU1" s="118"/>
      <c r="AV1" s="118"/>
      <c r="AW1" s="118"/>
      <c r="AX1" s="118"/>
    </row>
    <row r="3" spans="1:50" x14ac:dyDescent="0.3">
      <c r="A3" s="159"/>
    </row>
    <row r="6" spans="1:50" s="138" customFormat="1" ht="18" x14ac:dyDescent="0.35">
      <c r="A6" s="117" t="s">
        <v>1084</v>
      </c>
      <c r="B6" s="117" t="s">
        <v>152</v>
      </c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W6" s="117"/>
      <c r="X6" s="117"/>
      <c r="Y6" s="117"/>
      <c r="Z6" s="117"/>
      <c r="AA6" s="117"/>
      <c r="AB6" s="117"/>
      <c r="AC6" s="117"/>
      <c r="AD6" s="117"/>
      <c r="AE6" s="117"/>
      <c r="AF6" s="117"/>
      <c r="AG6" s="117"/>
      <c r="AH6" s="117"/>
      <c r="AI6" s="117"/>
      <c r="AJ6" s="117"/>
      <c r="AK6" s="117"/>
      <c r="AL6" s="117"/>
      <c r="AM6" s="117"/>
      <c r="AN6" s="117"/>
      <c r="AO6" s="117"/>
      <c r="AP6" s="117"/>
      <c r="AQ6" s="117"/>
      <c r="AR6" s="117"/>
      <c r="AS6" s="117"/>
      <c r="AT6" s="117"/>
      <c r="AU6" s="117"/>
      <c r="AV6" s="117"/>
      <c r="AW6" s="117"/>
      <c r="AX6" s="117"/>
    </row>
    <row r="7" spans="1:50" x14ac:dyDescent="0.3">
      <c r="A7" s="53" t="s">
        <v>39</v>
      </c>
      <c r="B7" s="51" t="s">
        <v>153</v>
      </c>
      <c r="C7" s="51" t="s">
        <v>154</v>
      </c>
      <c r="D7" s="51" t="s">
        <v>155</v>
      </c>
      <c r="E7" s="51" t="s">
        <v>136</v>
      </c>
      <c r="F7" s="51" t="s">
        <v>1091</v>
      </c>
      <c r="G7" s="147" t="s">
        <v>1130</v>
      </c>
      <c r="H7" s="147" t="s">
        <v>1131</v>
      </c>
    </row>
    <row r="8" spans="1:50" x14ac:dyDescent="0.3">
      <c r="A8" s="51"/>
      <c r="B8" s="51"/>
      <c r="C8" s="51"/>
      <c r="D8" s="51"/>
      <c r="E8" s="53" t="s">
        <v>156</v>
      </c>
      <c r="F8" s="53" t="s">
        <v>157</v>
      </c>
      <c r="G8" s="53" t="s">
        <v>157</v>
      </c>
      <c r="H8" s="53" t="s">
        <v>157</v>
      </c>
    </row>
    <row r="9" spans="1:50" x14ac:dyDescent="0.3">
      <c r="A9" s="51" t="s">
        <v>158</v>
      </c>
      <c r="B9" s="54">
        <f>HLOOKUP(ReportingYear,$62:$72,3,TRUE)</f>
        <v>43.963324589847097</v>
      </c>
      <c r="C9" s="55">
        <f>1-D9</f>
        <v>1</v>
      </c>
      <c r="D9" s="55">
        <v>0</v>
      </c>
      <c r="E9" s="51">
        <f t="shared" ref="E9:E18" si="0">C9*Gasoline_EF+D9*Diesel_EF</f>
        <v>8.7799999999999996E-3</v>
      </c>
      <c r="F9" s="51">
        <f>E9/B9</f>
        <v>1.9971192083202132E-4</v>
      </c>
      <c r="G9" s="147">
        <f>Gasoline_EF/'E Transportation Factor Set'!$B9</f>
        <v>1.9971192083202132E-4</v>
      </c>
      <c r="H9" s="147">
        <f>Diesel_EF/'E Transportation Factor Set'!$B9</f>
        <v>2.3223903322265807E-4</v>
      </c>
    </row>
    <row r="10" spans="1:50" x14ac:dyDescent="0.3">
      <c r="A10" s="51" t="s">
        <v>159</v>
      </c>
      <c r="B10" s="54">
        <f>HLOOKUP(ReportingYear,$62:$72,2,TRUE)</f>
        <v>24.377132352989769</v>
      </c>
      <c r="C10" s="55">
        <f t="shared" ref="C10:C18" si="1">1-D10</f>
        <v>0.98499999999999999</v>
      </c>
      <c r="D10" s="55">
        <f>HLOOKUP(ReportingYear,$76:$87,2)</f>
        <v>1.4999999999999999E-2</v>
      </c>
      <c r="E10" s="51">
        <f t="shared" si="0"/>
        <v>8.8014499999999989E-3</v>
      </c>
      <c r="F10" s="51">
        <f t="shared" ref="F10:F18" si="2">E10/B10</f>
        <v>3.6105354282660454E-4</v>
      </c>
      <c r="G10" s="51">
        <f>Gasoline_EF/'E Transportation Factor Set'!$B10</f>
        <v>3.6017361980328105E-4</v>
      </c>
      <c r="H10" s="51">
        <f>Diesel_EF/'E Transportation Factor Set'!$B10</f>
        <v>4.188351546915148E-4</v>
      </c>
    </row>
    <row r="11" spans="1:50" x14ac:dyDescent="0.3">
      <c r="A11" s="51" t="s">
        <v>160</v>
      </c>
      <c r="B11" s="54">
        <f>HLOOKUP(ReportingYear,$62:$72,5,TRUE)</f>
        <v>17.867885189527225</v>
      </c>
      <c r="C11" s="55">
        <f t="shared" si="1"/>
        <v>0.62</v>
      </c>
      <c r="D11" s="55">
        <f>HLOOKUP(ReportingYear,$76:$87,5)</f>
        <v>0.38</v>
      </c>
      <c r="E11" s="51">
        <f t="shared" si="0"/>
        <v>9.323399999999999E-3</v>
      </c>
      <c r="F11" s="51">
        <f t="shared" si="2"/>
        <v>5.2179650255782125E-4</v>
      </c>
      <c r="G11" s="147">
        <f>Gasoline_EF/'E Transportation Factor Set'!$B11</f>
        <v>4.9138439758646742E-4</v>
      </c>
      <c r="H11" s="147">
        <f>Diesel_EF/'E Transportation Factor Set'!$B11</f>
        <v>5.7141625277424071E-4</v>
      </c>
    </row>
    <row r="12" spans="1:50" x14ac:dyDescent="0.3">
      <c r="A12" s="51" t="s">
        <v>161</v>
      </c>
      <c r="B12" s="54">
        <f>HLOOKUP(ReportingYear,$62:$72,5,TRUE)</f>
        <v>17.867885189527225</v>
      </c>
      <c r="C12" s="55">
        <f t="shared" si="1"/>
        <v>0.62</v>
      </c>
      <c r="D12" s="55">
        <f>HLOOKUP(ReportingYear,$76:$87,5)</f>
        <v>0.38</v>
      </c>
      <c r="E12" s="51">
        <f t="shared" si="0"/>
        <v>9.323399999999999E-3</v>
      </c>
      <c r="F12" s="51">
        <f t="shared" si="2"/>
        <v>5.2179650255782125E-4</v>
      </c>
      <c r="G12" s="51">
        <f>Gasoline_EF/'E Transportation Factor Set'!$B12</f>
        <v>4.9138439758646742E-4</v>
      </c>
      <c r="H12" s="51">
        <f>Diesel_EF/'E Transportation Factor Set'!$B12</f>
        <v>5.7141625277424071E-4</v>
      </c>
    </row>
    <row r="13" spans="1:50" x14ac:dyDescent="0.3">
      <c r="A13" s="51" t="s">
        <v>162</v>
      </c>
      <c r="B13" s="54">
        <f>HLOOKUP(ReportingYear,$62:$72,11,TRUE)</f>
        <v>2.5299999999999998</v>
      </c>
      <c r="C13" s="55">
        <f t="shared" si="1"/>
        <v>0.13</v>
      </c>
      <c r="D13" s="55">
        <f>HLOOKUP(ReportingYear,$76:$87,8)</f>
        <v>0.87</v>
      </c>
      <c r="E13" s="51">
        <f t="shared" si="0"/>
        <v>1.0024100000000001E-2</v>
      </c>
      <c r="F13" s="51">
        <f t="shared" si="2"/>
        <v>3.9620948616600794E-3</v>
      </c>
      <c r="G13" s="147">
        <f>Gasoline_EF/'E Transportation Factor Set'!$B13</f>
        <v>3.4703557312252965E-3</v>
      </c>
      <c r="H13" s="147">
        <f>Diesel_EF/'E Transportation Factor Set'!$B13</f>
        <v>4.035573122529645E-3</v>
      </c>
    </row>
    <row r="14" spans="1:50" x14ac:dyDescent="0.3">
      <c r="A14" s="51" t="s">
        <v>163</v>
      </c>
      <c r="B14" s="54">
        <f>HLOOKUP(ReportingYear,$62:$72,6,TRUE)</f>
        <v>7.5060994873556677</v>
      </c>
      <c r="C14" s="55">
        <f t="shared" si="1"/>
        <v>0.13</v>
      </c>
      <c r="D14" s="55">
        <f>HLOOKUP(ReportingYear,$76:$87,8)</f>
        <v>0.87</v>
      </c>
      <c r="E14" s="51">
        <f t="shared" si="0"/>
        <v>1.0024100000000001E-2</v>
      </c>
      <c r="F14" s="51">
        <f t="shared" si="2"/>
        <v>1.3354605833410559E-3</v>
      </c>
      <c r="G14" s="51">
        <f>Gasoline_EF/'E Transportation Factor Set'!$B14</f>
        <v>1.1697153781121965E-3</v>
      </c>
      <c r="H14" s="51">
        <f>Diesel_EF/'E Transportation Factor Set'!$B14</f>
        <v>1.3602271082603107E-3</v>
      </c>
    </row>
    <row r="15" spans="1:50" x14ac:dyDescent="0.3">
      <c r="A15" s="51" t="s">
        <v>164</v>
      </c>
      <c r="B15" s="54">
        <f>HLOOKUP(ReportingYear,$62:$72,6,TRUE)</f>
        <v>7.5060994873556677</v>
      </c>
      <c r="C15" s="55">
        <f t="shared" si="1"/>
        <v>0.13</v>
      </c>
      <c r="D15" s="55">
        <f>HLOOKUP(ReportingYear,$76:$87,8)</f>
        <v>0.87</v>
      </c>
      <c r="E15" s="51">
        <f t="shared" si="0"/>
        <v>1.0024100000000001E-2</v>
      </c>
      <c r="F15" s="51">
        <f t="shared" si="2"/>
        <v>1.3354605833410559E-3</v>
      </c>
      <c r="G15" s="147">
        <f>Gasoline_EF/'E Transportation Factor Set'!$B15</f>
        <v>1.1697153781121965E-3</v>
      </c>
      <c r="H15" s="147">
        <f>Diesel_EF/'E Transportation Factor Set'!$B15</f>
        <v>1.3602271082603107E-3</v>
      </c>
    </row>
    <row r="16" spans="1:50" x14ac:dyDescent="0.3">
      <c r="A16" s="51" t="s">
        <v>165</v>
      </c>
      <c r="B16" s="54">
        <f>HLOOKUP(ReportingYear,$62:$72,4,TRUE)</f>
        <v>7.3395170519980004</v>
      </c>
      <c r="C16" s="55">
        <f t="shared" si="1"/>
        <v>0.82000000000000006</v>
      </c>
      <c r="D16" s="55">
        <f>HLOOKUP(ReportingYear,$76:$87,6)</f>
        <v>0.18</v>
      </c>
      <c r="E16" s="51">
        <f t="shared" si="0"/>
        <v>9.037400000000001E-3</v>
      </c>
      <c r="F16" s="51">
        <f t="shared" si="2"/>
        <v>1.2313344237738087E-3</v>
      </c>
      <c r="G16" s="51">
        <f>Gasoline_EF/'E Transportation Factor Set'!$B16</f>
        <v>1.1962639963633388E-3</v>
      </c>
      <c r="H16" s="51">
        <f>Diesel_EF/'E Transportation Factor Set'!$B16</f>
        <v>1.3910997041992814E-3</v>
      </c>
    </row>
    <row r="17" spans="1:50" x14ac:dyDescent="0.3">
      <c r="A17" s="51" t="s">
        <v>166</v>
      </c>
      <c r="B17" s="54">
        <f>HLOOKUP(ReportingYear,$62:$72,7,TRUE)</f>
        <v>6.0730339722657076</v>
      </c>
      <c r="C17" s="55">
        <f t="shared" si="1"/>
        <v>0</v>
      </c>
      <c r="D17" s="55">
        <f>HLOOKUP(ReportingYear,$76:$87,10)</f>
        <v>1</v>
      </c>
      <c r="E17" s="51">
        <f t="shared" si="0"/>
        <v>1.021E-2</v>
      </c>
      <c r="F17" s="51">
        <f t="shared" si="2"/>
        <v>1.6812025170000633E-3</v>
      </c>
      <c r="G17" s="147">
        <f>Gasoline_EF/'E Transportation Factor Set'!$B17</f>
        <v>1.4457353672145499E-3</v>
      </c>
      <c r="H17" s="147">
        <f>Diesel_EF/'E Transportation Factor Set'!$B17</f>
        <v>1.6812025170000633E-3</v>
      </c>
    </row>
    <row r="18" spans="1:50" x14ac:dyDescent="0.3">
      <c r="A18" s="51" t="s">
        <v>167</v>
      </c>
      <c r="B18" s="54">
        <f>HLOOKUP(ReportingYear,$62:$72,7,TRUE)</f>
        <v>6.0730339722657076</v>
      </c>
      <c r="C18" s="55">
        <f t="shared" si="1"/>
        <v>0</v>
      </c>
      <c r="D18" s="55">
        <f>HLOOKUP(ReportingYear,$76:$87,10)</f>
        <v>1</v>
      </c>
      <c r="E18" s="51">
        <f t="shared" si="0"/>
        <v>1.021E-2</v>
      </c>
      <c r="F18" s="51">
        <f t="shared" si="2"/>
        <v>1.6812025170000633E-3</v>
      </c>
      <c r="G18" s="51">
        <f>Gasoline_EF/'E Transportation Factor Set'!$B18</f>
        <v>1.4457353672145499E-3</v>
      </c>
      <c r="H18" s="51">
        <f>Diesel_EF/'E Transportation Factor Set'!$B18</f>
        <v>1.6812025170000633E-3</v>
      </c>
    </row>
    <row r="20" spans="1:50" s="138" customFormat="1" ht="18" x14ac:dyDescent="0.35">
      <c r="A20" s="117" t="s">
        <v>1083</v>
      </c>
      <c r="B20" s="117" t="s">
        <v>168</v>
      </c>
      <c r="C20" s="117"/>
      <c r="D20" s="117"/>
      <c r="E20" s="117"/>
      <c r="F20" s="117"/>
      <c r="G20" s="117"/>
      <c r="H20" s="117"/>
      <c r="I20" s="117"/>
      <c r="J20" s="117"/>
      <c r="K20" s="117"/>
      <c r="L20" s="117"/>
      <c r="M20" s="117"/>
      <c r="N20" s="117"/>
      <c r="O20" s="117"/>
      <c r="P20" s="117"/>
      <c r="Q20" s="117"/>
      <c r="R20" s="117"/>
      <c r="S20" s="117"/>
      <c r="T20" s="117"/>
      <c r="U20" s="117"/>
      <c r="V20" s="117"/>
      <c r="W20" s="117"/>
      <c r="X20" s="117"/>
      <c r="Y20" s="117"/>
      <c r="Z20" s="117"/>
      <c r="AA20" s="117"/>
      <c r="AB20" s="117"/>
      <c r="AC20" s="117"/>
      <c r="AD20" s="117"/>
      <c r="AE20" s="117"/>
      <c r="AF20" s="117"/>
      <c r="AG20" s="117"/>
      <c r="AH20" s="117"/>
      <c r="AI20" s="117"/>
      <c r="AJ20" s="117"/>
      <c r="AK20" s="117"/>
      <c r="AL20" s="117"/>
      <c r="AM20" s="117"/>
      <c r="AN20" s="117"/>
      <c r="AO20" s="117"/>
      <c r="AP20" s="117"/>
      <c r="AQ20" s="117"/>
      <c r="AR20" s="117"/>
      <c r="AS20" s="117"/>
      <c r="AT20" s="117"/>
      <c r="AU20" s="117"/>
      <c r="AV20" s="117"/>
      <c r="AW20" s="117"/>
      <c r="AX20" s="117"/>
    </row>
    <row r="21" spans="1:50" x14ac:dyDescent="0.3">
      <c r="A21" s="247" t="s">
        <v>39</v>
      </c>
      <c r="B21" s="248" t="s">
        <v>154</v>
      </c>
      <c r="C21" s="248" t="s">
        <v>155</v>
      </c>
      <c r="D21" s="248" t="s">
        <v>35</v>
      </c>
      <c r="E21" s="248" t="s">
        <v>36</v>
      </c>
      <c r="F21" s="248" t="s">
        <v>169</v>
      </c>
      <c r="G21" s="249" t="s">
        <v>1132</v>
      </c>
      <c r="H21" s="249" t="s">
        <v>1133</v>
      </c>
    </row>
    <row r="22" spans="1:50" x14ac:dyDescent="0.3">
      <c r="A22" s="250"/>
      <c r="B22" s="250"/>
      <c r="C22" s="250"/>
      <c r="D22" s="251" t="s">
        <v>170</v>
      </c>
      <c r="E22" s="251" t="s">
        <v>170</v>
      </c>
      <c r="F22" s="251" t="s">
        <v>157</v>
      </c>
      <c r="G22" s="251" t="s">
        <v>157</v>
      </c>
      <c r="H22" s="251" t="s">
        <v>157</v>
      </c>
    </row>
    <row r="23" spans="1:50" x14ac:dyDescent="0.3">
      <c r="A23" s="4" t="s">
        <v>158</v>
      </c>
      <c r="B23" s="252">
        <f t="shared" ref="B23:C32" si="3">C9</f>
        <v>1</v>
      </c>
      <c r="C23" s="252">
        <f t="shared" si="3"/>
        <v>0</v>
      </c>
      <c r="D23" s="4">
        <f>HLOOKUP(ReportingYear,$113:$121,8)</f>
        <v>6.7199999999999996E-2</v>
      </c>
      <c r="E23" s="4"/>
      <c r="F23" s="253">
        <f t="shared" ref="F23:F32" si="4">(B23*D23+C23*E23)*g_to_MT</f>
        <v>6.7199999999999993E-8</v>
      </c>
      <c r="G23" s="254">
        <f>'E Transportation Factor Set'!$D23*g_to_MT</f>
        <v>6.7199999999999993E-8</v>
      </c>
      <c r="H23" s="254">
        <v>0</v>
      </c>
    </row>
    <row r="24" spans="1:50" x14ac:dyDescent="0.3">
      <c r="A24" s="228" t="s">
        <v>159</v>
      </c>
      <c r="B24" s="255">
        <f t="shared" si="3"/>
        <v>0.98499999999999999</v>
      </c>
      <c r="C24" s="255">
        <f t="shared" si="3"/>
        <v>1.4999999999999999E-2</v>
      </c>
      <c r="D24" s="228">
        <f>HLOOKUP(ReportingYear,$113:$121,2)</f>
        <v>1.7299999999999999E-2</v>
      </c>
      <c r="E24" s="228">
        <f>HLOOKUP(ReportingYear,$124:$130,2)</f>
        <v>5.0000000000000001E-4</v>
      </c>
      <c r="F24" s="256">
        <f t="shared" si="4"/>
        <v>1.7048000000000002E-8</v>
      </c>
      <c r="G24" s="256">
        <f>'E Transportation Factor Set'!$D24*g_to_MT</f>
        <v>1.7299999999999999E-8</v>
      </c>
      <c r="H24" s="256">
        <f>'E Transportation Factor Set'!$E24*g_to_MT</f>
        <v>5.0000000000000003E-10</v>
      </c>
    </row>
    <row r="25" spans="1:50" x14ac:dyDescent="0.3">
      <c r="A25" s="4" t="s">
        <v>160</v>
      </c>
      <c r="B25" s="252">
        <f t="shared" si="3"/>
        <v>0.62</v>
      </c>
      <c r="C25" s="252">
        <f t="shared" si="3"/>
        <v>0.38</v>
      </c>
      <c r="D25" s="4">
        <f>HLOOKUP(ReportingYear,$113:$121,4)</f>
        <v>1.6299999999999999E-2</v>
      </c>
      <c r="E25" s="4">
        <f>HLOOKUP(ReportingYear,$124:$130,4)</f>
        <v>1E-3</v>
      </c>
      <c r="F25" s="253">
        <f t="shared" si="4"/>
        <v>1.0485999999999999E-8</v>
      </c>
      <c r="G25" s="254">
        <f>'E Transportation Factor Set'!$D25*g_to_MT</f>
        <v>1.6299999999999997E-8</v>
      </c>
      <c r="H25" s="253">
        <f>'E Transportation Factor Set'!$E25*g_to_MT</f>
        <v>1.0000000000000001E-9</v>
      </c>
    </row>
    <row r="26" spans="1:50" x14ac:dyDescent="0.3">
      <c r="A26" s="228" t="s">
        <v>161</v>
      </c>
      <c r="B26" s="255">
        <f t="shared" si="3"/>
        <v>0.62</v>
      </c>
      <c r="C26" s="255">
        <f t="shared" si="3"/>
        <v>0.38</v>
      </c>
      <c r="D26" s="228">
        <f>HLOOKUP(ReportingYear,$113:$121,4)</f>
        <v>1.6299999999999999E-2</v>
      </c>
      <c r="E26" s="228">
        <f>HLOOKUP(ReportingYear,$124:$130,4)</f>
        <v>1E-3</v>
      </c>
      <c r="F26" s="256">
        <f t="shared" si="4"/>
        <v>1.0485999999999999E-8</v>
      </c>
      <c r="G26" s="256">
        <f>'E Transportation Factor Set'!$D26*g_to_MT</f>
        <v>1.6299999999999997E-8</v>
      </c>
      <c r="H26" s="256">
        <f>'E Transportation Factor Set'!$E26*g_to_MT</f>
        <v>1.0000000000000001E-9</v>
      </c>
    </row>
    <row r="27" spans="1:50" x14ac:dyDescent="0.3">
      <c r="A27" s="4" t="s">
        <v>162</v>
      </c>
      <c r="B27" s="252">
        <f t="shared" si="3"/>
        <v>0.13</v>
      </c>
      <c r="C27" s="252">
        <f t="shared" si="3"/>
        <v>0.87</v>
      </c>
      <c r="D27" s="4">
        <f t="shared" ref="D27:D32" si="5">HLOOKUP(ReportingYear,$113:$121,6)</f>
        <v>3.3300000000000003E-2</v>
      </c>
      <c r="E27" s="4">
        <f t="shared" ref="E27:E32" si="6">HLOOKUP(ReportingYear,$124:$130,6)</f>
        <v>5.1000000000000004E-3</v>
      </c>
      <c r="F27" s="253">
        <f t="shared" si="4"/>
        <v>8.7659999999999989E-9</v>
      </c>
      <c r="G27" s="254">
        <f>'E Transportation Factor Set'!$D27*g_to_MT</f>
        <v>3.33E-8</v>
      </c>
      <c r="H27" s="253">
        <f>'E Transportation Factor Set'!$E27*g_to_MT</f>
        <v>5.1000000000000002E-9</v>
      </c>
    </row>
    <row r="28" spans="1:50" x14ac:dyDescent="0.3">
      <c r="A28" s="228" t="s">
        <v>163</v>
      </c>
      <c r="B28" s="255">
        <f t="shared" si="3"/>
        <v>0.13</v>
      </c>
      <c r="C28" s="255">
        <f t="shared" si="3"/>
        <v>0.87</v>
      </c>
      <c r="D28" s="228">
        <f t="shared" si="5"/>
        <v>3.3300000000000003E-2</v>
      </c>
      <c r="E28" s="228">
        <f t="shared" si="6"/>
        <v>5.1000000000000004E-3</v>
      </c>
      <c r="F28" s="256">
        <f t="shared" si="4"/>
        <v>8.7659999999999989E-9</v>
      </c>
      <c r="G28" s="256">
        <f>'E Transportation Factor Set'!$D28*g_to_MT</f>
        <v>3.33E-8</v>
      </c>
      <c r="H28" s="256">
        <f>'E Transportation Factor Set'!$E28*g_to_MT</f>
        <v>5.1000000000000002E-9</v>
      </c>
    </row>
    <row r="29" spans="1:50" x14ac:dyDescent="0.3">
      <c r="A29" s="4" t="s">
        <v>164</v>
      </c>
      <c r="B29" s="252">
        <f t="shared" si="3"/>
        <v>0.13</v>
      </c>
      <c r="C29" s="252">
        <f t="shared" si="3"/>
        <v>0.87</v>
      </c>
      <c r="D29" s="4">
        <f t="shared" si="5"/>
        <v>3.3300000000000003E-2</v>
      </c>
      <c r="E29" s="4">
        <f t="shared" si="6"/>
        <v>5.1000000000000004E-3</v>
      </c>
      <c r="F29" s="253">
        <f t="shared" si="4"/>
        <v>8.7659999999999989E-9</v>
      </c>
      <c r="G29" s="254">
        <f>'E Transportation Factor Set'!$D29*g_to_MT</f>
        <v>3.33E-8</v>
      </c>
      <c r="H29" s="253">
        <f>'E Transportation Factor Set'!$E29*g_to_MT</f>
        <v>5.1000000000000002E-9</v>
      </c>
    </row>
    <row r="30" spans="1:50" x14ac:dyDescent="0.3">
      <c r="A30" s="228" t="s">
        <v>165</v>
      </c>
      <c r="B30" s="255">
        <f t="shared" si="3"/>
        <v>0.82000000000000006</v>
      </c>
      <c r="C30" s="255">
        <f t="shared" si="3"/>
        <v>0.18</v>
      </c>
      <c r="D30" s="228">
        <f t="shared" si="5"/>
        <v>3.3300000000000003E-2</v>
      </c>
      <c r="E30" s="228">
        <f t="shared" si="6"/>
        <v>5.1000000000000004E-3</v>
      </c>
      <c r="F30" s="256">
        <f t="shared" si="4"/>
        <v>2.8224000000000002E-8</v>
      </c>
      <c r="G30" s="256">
        <f>'E Transportation Factor Set'!$D30*g_to_MT</f>
        <v>3.33E-8</v>
      </c>
      <c r="H30" s="256">
        <f>'E Transportation Factor Set'!$E30*g_to_MT</f>
        <v>5.1000000000000002E-9</v>
      </c>
    </row>
    <row r="31" spans="1:50" x14ac:dyDescent="0.3">
      <c r="A31" s="4" t="s">
        <v>166</v>
      </c>
      <c r="B31" s="252">
        <f t="shared" si="3"/>
        <v>0</v>
      </c>
      <c r="C31" s="252">
        <f t="shared" si="3"/>
        <v>1</v>
      </c>
      <c r="D31" s="4">
        <f t="shared" si="5"/>
        <v>3.3300000000000003E-2</v>
      </c>
      <c r="E31" s="4">
        <f t="shared" si="6"/>
        <v>5.1000000000000004E-3</v>
      </c>
      <c r="F31" s="253">
        <f t="shared" si="4"/>
        <v>5.1000000000000002E-9</v>
      </c>
      <c r="G31" s="254">
        <f>'E Transportation Factor Set'!$D31*g_to_MT</f>
        <v>3.33E-8</v>
      </c>
      <c r="H31" s="253">
        <f>'E Transportation Factor Set'!$E31*g_to_MT</f>
        <v>5.1000000000000002E-9</v>
      </c>
    </row>
    <row r="32" spans="1:50" x14ac:dyDescent="0.3">
      <c r="A32" s="230" t="s">
        <v>167</v>
      </c>
      <c r="B32" s="257">
        <f t="shared" si="3"/>
        <v>0</v>
      </c>
      <c r="C32" s="257">
        <f t="shared" si="3"/>
        <v>1</v>
      </c>
      <c r="D32" s="230">
        <f t="shared" si="5"/>
        <v>3.3300000000000003E-2</v>
      </c>
      <c r="E32" s="230">
        <f t="shared" si="6"/>
        <v>5.1000000000000004E-3</v>
      </c>
      <c r="F32" s="258">
        <f t="shared" si="4"/>
        <v>5.1000000000000002E-9</v>
      </c>
      <c r="G32" s="258">
        <f>'E Transportation Factor Set'!$D32*g_to_MT</f>
        <v>3.33E-8</v>
      </c>
      <c r="H32" s="258">
        <f>'E Transportation Factor Set'!$E32*g_to_MT</f>
        <v>5.1000000000000002E-9</v>
      </c>
    </row>
    <row r="34" spans="1:50" s="138" customFormat="1" ht="18" x14ac:dyDescent="0.35">
      <c r="A34" s="117" t="s">
        <v>1092</v>
      </c>
      <c r="B34" s="117" t="s">
        <v>171</v>
      </c>
      <c r="C34" s="117"/>
      <c r="D34" s="117"/>
      <c r="E34" s="117"/>
      <c r="F34" s="117"/>
      <c r="G34" s="117"/>
      <c r="H34" s="117"/>
      <c r="I34" s="117"/>
      <c r="J34" s="117"/>
      <c r="K34" s="117"/>
      <c r="L34" s="117"/>
      <c r="M34" s="117"/>
      <c r="N34" s="117"/>
      <c r="O34" s="117"/>
      <c r="P34" s="117"/>
      <c r="Q34" s="117"/>
      <c r="R34" s="117"/>
      <c r="S34" s="117"/>
      <c r="T34" s="117"/>
      <c r="U34" s="117"/>
      <c r="V34" s="117"/>
      <c r="W34" s="117"/>
      <c r="X34" s="117"/>
      <c r="Y34" s="117"/>
      <c r="Z34" s="117"/>
      <c r="AA34" s="117"/>
      <c r="AB34" s="117"/>
      <c r="AC34" s="117"/>
      <c r="AD34" s="117"/>
      <c r="AE34" s="117"/>
      <c r="AF34" s="117"/>
      <c r="AG34" s="117"/>
      <c r="AH34" s="117"/>
      <c r="AI34" s="117"/>
      <c r="AJ34" s="117"/>
      <c r="AK34" s="117"/>
      <c r="AL34" s="117"/>
      <c r="AM34" s="117"/>
      <c r="AN34" s="117"/>
      <c r="AO34" s="117"/>
      <c r="AP34" s="117"/>
      <c r="AQ34" s="117"/>
      <c r="AR34" s="117"/>
      <c r="AS34" s="117"/>
      <c r="AT34" s="117"/>
      <c r="AU34" s="117"/>
      <c r="AV34" s="117"/>
      <c r="AW34" s="117"/>
      <c r="AX34" s="117"/>
    </row>
    <row r="35" spans="1:50" x14ac:dyDescent="0.3">
      <c r="A35" s="247" t="s">
        <v>39</v>
      </c>
      <c r="B35" s="248" t="s">
        <v>154</v>
      </c>
      <c r="C35" s="248" t="s">
        <v>155</v>
      </c>
      <c r="D35" s="248" t="s">
        <v>35</v>
      </c>
      <c r="E35" s="248" t="s">
        <v>36</v>
      </c>
      <c r="F35" s="248" t="s">
        <v>169</v>
      </c>
      <c r="G35" s="249" t="s">
        <v>1134</v>
      </c>
      <c r="H35" s="249" t="s">
        <v>1135</v>
      </c>
    </row>
    <row r="36" spans="1:50" x14ac:dyDescent="0.3">
      <c r="A36" s="250"/>
      <c r="B36" s="250"/>
      <c r="C36" s="250"/>
      <c r="D36" s="251" t="s">
        <v>170</v>
      </c>
      <c r="E36" s="251" t="s">
        <v>170</v>
      </c>
      <c r="F36" s="251" t="s">
        <v>157</v>
      </c>
      <c r="G36" s="251" t="s">
        <v>157</v>
      </c>
      <c r="H36" s="251" t="s">
        <v>157</v>
      </c>
    </row>
    <row r="37" spans="1:50" x14ac:dyDescent="0.3">
      <c r="A37" s="4" t="s">
        <v>158</v>
      </c>
      <c r="B37" s="252">
        <f>B23</f>
        <v>1</v>
      </c>
      <c r="C37" s="252">
        <f>C23</f>
        <v>0</v>
      </c>
      <c r="D37" s="4">
        <f>HLOOKUP(ReportingYear,$113:$121,9)</f>
        <v>6.8999999999999999E-3</v>
      </c>
      <c r="E37" s="4"/>
      <c r="F37" s="259">
        <f t="shared" ref="F37:F46" si="7">(B37*D37+C37*E37)*g_to_MT</f>
        <v>6.8999999999999997E-9</v>
      </c>
      <c r="G37" s="173">
        <f>'E Transportation Factor Set'!$D37*g_to_MT</f>
        <v>6.8999999999999997E-9</v>
      </c>
      <c r="H37" s="173">
        <f>'E Transportation Factor Set'!$E37*g_to_MT</f>
        <v>0</v>
      </c>
    </row>
    <row r="38" spans="1:50" x14ac:dyDescent="0.3">
      <c r="A38" s="228" t="s">
        <v>159</v>
      </c>
      <c r="B38" s="255">
        <f t="shared" ref="B38:C38" si="8">B24</f>
        <v>0.98499999999999999</v>
      </c>
      <c r="C38" s="255">
        <f t="shared" si="8"/>
        <v>1.4999999999999999E-2</v>
      </c>
      <c r="D38" s="228">
        <f>HLOOKUP(ReportingYear,$113:$121,3)</f>
        <v>3.5999999999999999E-3</v>
      </c>
      <c r="E38" s="228">
        <f>HLOOKUP(ReportingYear,$124:$130,3)</f>
        <v>1E-3</v>
      </c>
      <c r="F38" s="260">
        <f t="shared" si="7"/>
        <v>3.5609999999999992E-9</v>
      </c>
      <c r="G38" s="228">
        <f>'E Transportation Factor Set'!$D38*g_to_MT</f>
        <v>3.5999999999999996E-9</v>
      </c>
      <c r="H38" s="260">
        <f>'E Transportation Factor Set'!$E38*g_to_MT</f>
        <v>1.0000000000000001E-9</v>
      </c>
    </row>
    <row r="39" spans="1:50" x14ac:dyDescent="0.3">
      <c r="A39" s="4" t="s">
        <v>160</v>
      </c>
      <c r="B39" s="252">
        <f t="shared" ref="B39:C39" si="9">B25</f>
        <v>0.62</v>
      </c>
      <c r="C39" s="252">
        <f t="shared" si="9"/>
        <v>0.38</v>
      </c>
      <c r="D39" s="4">
        <f>HLOOKUP(ReportingYear,$113:$121,5)</f>
        <v>6.6E-3</v>
      </c>
      <c r="E39" s="4">
        <f>HLOOKUP(ReportingYear,$124:$130,5)</f>
        <v>1.5E-3</v>
      </c>
      <c r="F39" s="259">
        <f t="shared" si="7"/>
        <v>4.6619999999999998E-9</v>
      </c>
      <c r="G39" s="173">
        <f>'E Transportation Factor Set'!$D39*g_to_MT</f>
        <v>6.5999999999999995E-9</v>
      </c>
      <c r="H39" s="173">
        <f>'E Transportation Factor Set'!$E39*g_to_MT</f>
        <v>1.5E-9</v>
      </c>
    </row>
    <row r="40" spans="1:50" x14ac:dyDescent="0.3">
      <c r="A40" s="228" t="s">
        <v>161</v>
      </c>
      <c r="B40" s="255">
        <f t="shared" ref="B40:C40" si="10">B26</f>
        <v>0.62</v>
      </c>
      <c r="C40" s="255">
        <f t="shared" si="10"/>
        <v>0.38</v>
      </c>
      <c r="D40" s="228">
        <f>HLOOKUP(ReportingYear,$113:$121,5)</f>
        <v>6.6E-3</v>
      </c>
      <c r="E40" s="228">
        <f>HLOOKUP(ReportingYear,$124:$130,5)</f>
        <v>1.5E-3</v>
      </c>
      <c r="F40" s="260">
        <f t="shared" si="7"/>
        <v>4.6619999999999998E-9</v>
      </c>
      <c r="G40" s="228">
        <f>'E Transportation Factor Set'!$D40*g_to_MT</f>
        <v>6.5999999999999995E-9</v>
      </c>
      <c r="H40" s="260">
        <f>'E Transportation Factor Set'!$E40*g_to_MT</f>
        <v>1.5E-9</v>
      </c>
    </row>
    <row r="41" spans="1:50" x14ac:dyDescent="0.3">
      <c r="A41" s="4" t="s">
        <v>162</v>
      </c>
      <c r="B41" s="252">
        <f t="shared" ref="B41:C41" si="11">B27</f>
        <v>0.13</v>
      </c>
      <c r="C41" s="252">
        <f t="shared" si="11"/>
        <v>0.87</v>
      </c>
      <c r="D41" s="4">
        <f t="shared" ref="D41:D46" si="12">HLOOKUP(ReportingYear,$113:$121,7)</f>
        <v>1.34E-2</v>
      </c>
      <c r="E41" s="4">
        <f t="shared" ref="E41:E46" si="13">HLOOKUP(ReportingYear,$124:$130,7)</f>
        <v>4.7999999999999996E-3</v>
      </c>
      <c r="F41" s="259">
        <f t="shared" si="7"/>
        <v>5.9179999999999996E-9</v>
      </c>
      <c r="G41" s="173">
        <f>'E Transportation Factor Set'!$D41*g_to_MT</f>
        <v>1.3399999999999999E-8</v>
      </c>
      <c r="H41" s="173">
        <f>'E Transportation Factor Set'!$E41*g_to_MT</f>
        <v>4.7999999999999991E-9</v>
      </c>
    </row>
    <row r="42" spans="1:50" x14ac:dyDescent="0.3">
      <c r="A42" s="228" t="s">
        <v>163</v>
      </c>
      <c r="B42" s="255">
        <f t="shared" ref="B42:C42" si="14">B28</f>
        <v>0.13</v>
      </c>
      <c r="C42" s="255">
        <f t="shared" si="14"/>
        <v>0.87</v>
      </c>
      <c r="D42" s="228">
        <f t="shared" si="12"/>
        <v>1.34E-2</v>
      </c>
      <c r="E42" s="228">
        <f t="shared" si="13"/>
        <v>4.7999999999999996E-3</v>
      </c>
      <c r="F42" s="260">
        <f t="shared" si="7"/>
        <v>5.9179999999999996E-9</v>
      </c>
      <c r="G42" s="228">
        <f>'E Transportation Factor Set'!$D42*g_to_MT</f>
        <v>1.3399999999999999E-8</v>
      </c>
      <c r="H42" s="260">
        <f>'E Transportation Factor Set'!$E42*g_to_MT</f>
        <v>4.7999999999999991E-9</v>
      </c>
    </row>
    <row r="43" spans="1:50" x14ac:dyDescent="0.3">
      <c r="A43" s="4" t="s">
        <v>164</v>
      </c>
      <c r="B43" s="252">
        <f t="shared" ref="B43:C43" si="15">B29</f>
        <v>0.13</v>
      </c>
      <c r="C43" s="252">
        <f t="shared" si="15"/>
        <v>0.87</v>
      </c>
      <c r="D43" s="4">
        <f t="shared" si="12"/>
        <v>1.34E-2</v>
      </c>
      <c r="E43" s="4">
        <f t="shared" si="13"/>
        <v>4.7999999999999996E-3</v>
      </c>
      <c r="F43" s="259">
        <f t="shared" si="7"/>
        <v>5.9179999999999996E-9</v>
      </c>
      <c r="G43" s="173">
        <f>'E Transportation Factor Set'!$D43*g_to_MT</f>
        <v>1.3399999999999999E-8</v>
      </c>
      <c r="H43" s="173">
        <f>'E Transportation Factor Set'!$E43*g_to_MT</f>
        <v>4.7999999999999991E-9</v>
      </c>
    </row>
    <row r="44" spans="1:50" x14ac:dyDescent="0.3">
      <c r="A44" s="228" t="s">
        <v>165</v>
      </c>
      <c r="B44" s="255">
        <f t="shared" ref="B44:C44" si="16">B30</f>
        <v>0.82000000000000006</v>
      </c>
      <c r="C44" s="255">
        <f t="shared" si="16"/>
        <v>0.18</v>
      </c>
      <c r="D44" s="228">
        <f t="shared" si="12"/>
        <v>1.34E-2</v>
      </c>
      <c r="E44" s="228">
        <f t="shared" si="13"/>
        <v>4.7999999999999996E-3</v>
      </c>
      <c r="F44" s="260">
        <f t="shared" si="7"/>
        <v>1.1852000000000001E-8</v>
      </c>
      <c r="G44" s="173">
        <f>'E Transportation Factor Set'!$D44*g_to_MT</f>
        <v>1.3399999999999999E-8</v>
      </c>
      <c r="H44" s="173">
        <f>'E Transportation Factor Set'!$E44*g_to_MT</f>
        <v>4.7999999999999991E-9</v>
      </c>
    </row>
    <row r="45" spans="1:50" x14ac:dyDescent="0.3">
      <c r="A45" s="4" t="s">
        <v>166</v>
      </c>
      <c r="B45" s="252">
        <f t="shared" ref="B45:C45" si="17">B31</f>
        <v>0</v>
      </c>
      <c r="C45" s="252">
        <f t="shared" si="17"/>
        <v>1</v>
      </c>
      <c r="D45" s="4">
        <f t="shared" si="12"/>
        <v>1.34E-2</v>
      </c>
      <c r="E45" s="4">
        <f t="shared" si="13"/>
        <v>4.7999999999999996E-3</v>
      </c>
      <c r="F45" s="259">
        <f t="shared" si="7"/>
        <v>4.7999999999999991E-9</v>
      </c>
      <c r="G45" s="173">
        <f>'E Transportation Factor Set'!$D45*g_to_MT</f>
        <v>1.3399999999999999E-8</v>
      </c>
      <c r="H45" s="173">
        <f>'E Transportation Factor Set'!$E45*g_to_MT</f>
        <v>4.7999999999999991E-9</v>
      </c>
    </row>
    <row r="46" spans="1:50" x14ac:dyDescent="0.3">
      <c r="A46" s="230" t="s">
        <v>167</v>
      </c>
      <c r="B46" s="257">
        <f t="shared" ref="B46:C46" si="18">B32</f>
        <v>0</v>
      </c>
      <c r="C46" s="257">
        <f t="shared" si="18"/>
        <v>1</v>
      </c>
      <c r="D46" s="230">
        <f t="shared" si="12"/>
        <v>1.34E-2</v>
      </c>
      <c r="E46" s="230">
        <f t="shared" si="13"/>
        <v>4.7999999999999996E-3</v>
      </c>
      <c r="F46" s="261">
        <f t="shared" si="7"/>
        <v>4.7999999999999991E-9</v>
      </c>
      <c r="G46" s="262">
        <f>'E Transportation Factor Set'!$D46*g_to_MT</f>
        <v>1.3399999999999999E-8</v>
      </c>
      <c r="H46" s="262">
        <f>'E Transportation Factor Set'!$E46*g_to_MT</f>
        <v>4.7999999999999991E-9</v>
      </c>
    </row>
    <row r="48" spans="1:50" s="138" customFormat="1" ht="18" x14ac:dyDescent="0.35">
      <c r="A48" s="117" t="s">
        <v>1093</v>
      </c>
      <c r="B48" s="117" t="s">
        <v>172</v>
      </c>
      <c r="C48" s="117"/>
      <c r="D48" s="117"/>
      <c r="E48" s="117"/>
      <c r="F48" s="117"/>
      <c r="G48" s="117"/>
      <c r="H48" s="117"/>
      <c r="I48" s="117"/>
      <c r="J48" s="117"/>
      <c r="K48" s="117"/>
      <c r="L48" s="117"/>
      <c r="M48" s="117"/>
      <c r="N48" s="117"/>
      <c r="O48" s="117"/>
      <c r="P48" s="117"/>
      <c r="Q48" s="117"/>
      <c r="R48" s="117"/>
      <c r="S48" s="117"/>
      <c r="T48" s="117"/>
      <c r="U48" s="117"/>
      <c r="V48" s="117"/>
      <c r="W48" s="117"/>
      <c r="X48" s="117"/>
      <c r="Y48" s="117"/>
      <c r="Z48" s="117"/>
      <c r="AA48" s="117"/>
      <c r="AB48" s="117"/>
      <c r="AC48" s="117"/>
      <c r="AD48" s="117"/>
      <c r="AE48" s="117"/>
      <c r="AF48" s="117"/>
      <c r="AG48" s="117"/>
      <c r="AH48" s="117"/>
      <c r="AI48" s="117"/>
      <c r="AJ48" s="117"/>
      <c r="AK48" s="117"/>
      <c r="AL48" s="117"/>
      <c r="AM48" s="117"/>
      <c r="AN48" s="117"/>
      <c r="AO48" s="117"/>
      <c r="AP48" s="117"/>
      <c r="AQ48" s="117"/>
      <c r="AR48" s="117"/>
      <c r="AS48" s="117"/>
      <c r="AT48" s="117"/>
      <c r="AU48" s="117"/>
      <c r="AV48" s="117"/>
      <c r="AW48" s="117"/>
      <c r="AX48" s="117"/>
    </row>
    <row r="49" spans="1:50" x14ac:dyDescent="0.3">
      <c r="A49" s="247" t="s">
        <v>39</v>
      </c>
      <c r="B49" s="248" t="s">
        <v>173</v>
      </c>
      <c r="C49" s="249" t="s">
        <v>1136</v>
      </c>
      <c r="D49" s="249" t="s">
        <v>1137</v>
      </c>
    </row>
    <row r="50" spans="1:50" x14ac:dyDescent="0.3">
      <c r="A50" s="250" t="s">
        <v>158</v>
      </c>
      <c r="B50" s="250">
        <f t="shared" ref="B50:B59" si="19">F9+F23*CH4_GWP+F37*N2O_GWP</f>
        <v>2.0342202083202133E-4</v>
      </c>
      <c r="C50" s="263">
        <f t="shared" ref="C50:C59" si="20">G9+G23*CH4_GWP+G37*N2O_GWP</f>
        <v>2.0342202083202133E-4</v>
      </c>
      <c r="D50" s="263">
        <f t="shared" ref="D50:D59" si="21">H9+H23*CH4_GWP+H37*N2O_GWP</f>
        <v>2.3223903322265807E-4</v>
      </c>
    </row>
    <row r="51" spans="1:50" x14ac:dyDescent="0.3">
      <c r="A51" s="4" t="s">
        <v>159</v>
      </c>
      <c r="B51" s="4">
        <f t="shared" si="19"/>
        <v>3.6247455182660454E-4</v>
      </c>
      <c r="C51" s="173">
        <f t="shared" si="20"/>
        <v>3.6161201980328106E-4</v>
      </c>
      <c r="D51" s="173">
        <f t="shared" si="21"/>
        <v>4.1911415469151481E-4</v>
      </c>
    </row>
    <row r="52" spans="1:50" x14ac:dyDescent="0.3">
      <c r="A52" s="228" t="s">
        <v>160</v>
      </c>
      <c r="B52" s="228">
        <f t="shared" si="19"/>
        <v>5.2332554055782121E-4</v>
      </c>
      <c r="C52" s="173">
        <f t="shared" si="20"/>
        <v>4.9358979758646747E-4</v>
      </c>
      <c r="D52" s="173">
        <f t="shared" si="21"/>
        <v>5.7184175277424074E-4</v>
      </c>
    </row>
    <row r="53" spans="1:50" x14ac:dyDescent="0.3">
      <c r="A53" s="4" t="s">
        <v>161</v>
      </c>
      <c r="B53" s="4">
        <f t="shared" si="19"/>
        <v>5.2332554055782121E-4</v>
      </c>
      <c r="C53" s="173">
        <f t="shared" si="20"/>
        <v>4.9358979758646747E-4</v>
      </c>
      <c r="D53" s="173">
        <f t="shared" si="21"/>
        <v>5.7184175277424074E-4</v>
      </c>
    </row>
    <row r="54" spans="1:50" x14ac:dyDescent="0.3">
      <c r="A54" s="228" t="s">
        <v>162</v>
      </c>
      <c r="B54" s="228">
        <f t="shared" si="19"/>
        <v>3.9639085796600798E-3</v>
      </c>
      <c r="C54" s="173">
        <f t="shared" si="20"/>
        <v>3.4748391312252967E-3</v>
      </c>
      <c r="D54" s="173">
        <f t="shared" si="21"/>
        <v>4.0369879225296453E-3</v>
      </c>
    </row>
    <row r="55" spans="1:50" x14ac:dyDescent="0.3">
      <c r="A55" s="4" t="s">
        <v>163</v>
      </c>
      <c r="B55" s="4">
        <f t="shared" si="19"/>
        <v>1.3372743013410559E-3</v>
      </c>
      <c r="C55" s="173">
        <f t="shared" si="20"/>
        <v>1.1741987781121966E-3</v>
      </c>
      <c r="D55" s="173">
        <f t="shared" si="21"/>
        <v>1.3616419082603107E-3</v>
      </c>
    </row>
    <row r="56" spans="1:50" x14ac:dyDescent="0.3">
      <c r="A56" s="228" t="s">
        <v>164</v>
      </c>
      <c r="B56" s="228">
        <f t="shared" si="19"/>
        <v>1.3372743013410559E-3</v>
      </c>
      <c r="C56" s="173">
        <f t="shared" si="20"/>
        <v>1.1741987781121966E-3</v>
      </c>
      <c r="D56" s="173">
        <f t="shared" si="21"/>
        <v>1.3616419082603107E-3</v>
      </c>
    </row>
    <row r="57" spans="1:50" x14ac:dyDescent="0.3">
      <c r="A57" s="4" t="s">
        <v>165</v>
      </c>
      <c r="B57" s="4">
        <f t="shared" si="19"/>
        <v>1.2352654757738087E-3</v>
      </c>
      <c r="C57" s="173">
        <f t="shared" si="20"/>
        <v>1.2007473963633389E-3</v>
      </c>
      <c r="D57" s="173">
        <f t="shared" si="21"/>
        <v>1.3925145041992814E-3</v>
      </c>
    </row>
    <row r="58" spans="1:50" x14ac:dyDescent="0.3">
      <c r="A58" s="228" t="s">
        <v>166</v>
      </c>
      <c r="B58" s="228">
        <f t="shared" si="19"/>
        <v>1.6826173170000633E-3</v>
      </c>
      <c r="C58" s="173">
        <f t="shared" si="20"/>
        <v>1.45021876721455E-3</v>
      </c>
      <c r="D58" s="173">
        <f t="shared" si="21"/>
        <v>1.6826173170000633E-3</v>
      </c>
    </row>
    <row r="59" spans="1:50" x14ac:dyDescent="0.3">
      <c r="A59" s="229" t="s">
        <v>167</v>
      </c>
      <c r="B59" s="229">
        <f t="shared" si="19"/>
        <v>1.6826173170000633E-3</v>
      </c>
      <c r="C59" s="262">
        <f t="shared" si="20"/>
        <v>1.45021876721455E-3</v>
      </c>
      <c r="D59" s="262">
        <f t="shared" si="21"/>
        <v>1.6826173170000633E-3</v>
      </c>
    </row>
    <row r="61" spans="1:50" s="138" customFormat="1" ht="18" x14ac:dyDescent="0.35">
      <c r="A61" s="117" t="s">
        <v>1094</v>
      </c>
      <c r="B61" s="117" t="s">
        <v>174</v>
      </c>
      <c r="C61" s="117"/>
      <c r="D61" s="117"/>
      <c r="E61" s="117"/>
      <c r="F61" s="117"/>
      <c r="G61" s="117"/>
      <c r="H61" s="117"/>
      <c r="I61" s="117"/>
      <c r="J61" s="117"/>
      <c r="K61" s="117"/>
      <c r="L61" s="117"/>
      <c r="M61" s="117"/>
      <c r="N61" s="117"/>
      <c r="O61" s="117"/>
      <c r="P61" s="117"/>
      <c r="Q61" s="117"/>
      <c r="R61" s="117"/>
      <c r="S61" s="117"/>
      <c r="T61" s="117"/>
      <c r="U61" s="117"/>
      <c r="V61" s="117"/>
      <c r="W61" s="117"/>
      <c r="X61" s="117"/>
      <c r="Y61" s="117"/>
      <c r="Z61" s="117"/>
      <c r="AA61" s="117"/>
      <c r="AB61" s="117"/>
      <c r="AC61" s="117"/>
      <c r="AD61" s="117"/>
      <c r="AE61" s="117"/>
      <c r="AF61" s="117"/>
      <c r="AG61" s="117"/>
      <c r="AH61" s="117"/>
      <c r="AI61" s="117"/>
      <c r="AJ61" s="117"/>
      <c r="AK61" s="117"/>
      <c r="AL61" s="117"/>
      <c r="AM61" s="117"/>
      <c r="AN61" s="117"/>
      <c r="AO61" s="117"/>
      <c r="AP61" s="117"/>
      <c r="AQ61" s="117"/>
      <c r="AR61" s="117"/>
      <c r="AS61" s="117"/>
      <c r="AT61" s="117"/>
      <c r="AU61" s="117"/>
      <c r="AV61" s="117"/>
      <c r="AW61" s="117"/>
      <c r="AX61" s="117"/>
    </row>
    <row r="62" spans="1:50" s="144" customFormat="1" x14ac:dyDescent="0.3">
      <c r="A62" s="56" t="s">
        <v>61</v>
      </c>
      <c r="B62" s="153">
        <v>2000</v>
      </c>
      <c r="C62" s="153">
        <v>2001</v>
      </c>
      <c r="D62" s="153">
        <v>2002</v>
      </c>
      <c r="E62" s="153">
        <v>2003</v>
      </c>
      <c r="F62" s="153">
        <v>2004</v>
      </c>
      <c r="G62" s="153">
        <v>2005</v>
      </c>
      <c r="H62" s="153">
        <v>2006</v>
      </c>
      <c r="I62" s="153">
        <v>2007</v>
      </c>
      <c r="J62" s="153">
        <v>2008</v>
      </c>
      <c r="K62" s="153">
        <v>2009</v>
      </c>
      <c r="L62" s="153">
        <v>2010</v>
      </c>
      <c r="M62" s="153">
        <v>2011</v>
      </c>
      <c r="N62" s="153">
        <v>2012</v>
      </c>
      <c r="O62" s="153">
        <v>2013</v>
      </c>
      <c r="P62" s="153">
        <v>2014</v>
      </c>
      <c r="Q62" s="153">
        <v>2015</v>
      </c>
      <c r="R62" s="153">
        <v>2016</v>
      </c>
      <c r="S62" s="153">
        <v>2017</v>
      </c>
      <c r="T62" s="153">
        <v>2018</v>
      </c>
      <c r="U62" s="129"/>
      <c r="V62" s="129"/>
      <c r="W62" s="129"/>
      <c r="X62" s="129"/>
      <c r="Y62" s="129"/>
      <c r="Z62" s="129"/>
      <c r="AA62" s="129"/>
      <c r="AB62" s="129"/>
      <c r="AC62" s="129"/>
      <c r="AD62" s="129"/>
      <c r="AE62" s="129"/>
      <c r="AF62" s="129"/>
      <c r="AG62" s="129"/>
      <c r="AH62" s="129"/>
      <c r="AI62" s="129"/>
      <c r="AJ62" s="129"/>
      <c r="AK62" s="129"/>
      <c r="AL62" s="129"/>
      <c r="AM62" s="129"/>
      <c r="AN62" s="129"/>
      <c r="AO62" s="129"/>
      <c r="AP62" s="129"/>
      <c r="AQ62" s="129"/>
      <c r="AR62" s="129"/>
      <c r="AS62" s="129"/>
      <c r="AT62" s="129"/>
      <c r="AU62" s="129"/>
      <c r="AV62" s="129"/>
      <c r="AW62" s="129"/>
      <c r="AX62" s="129"/>
    </row>
    <row r="63" spans="1:50" s="144" customFormat="1" x14ac:dyDescent="0.3">
      <c r="A63" s="56" t="s">
        <v>175</v>
      </c>
      <c r="B63" s="62">
        <v>21.9</v>
      </c>
      <c r="C63" s="62">
        <v>22.1</v>
      </c>
      <c r="D63" s="62">
        <v>22</v>
      </c>
      <c r="E63" s="62">
        <v>22.2</v>
      </c>
      <c r="F63" s="62">
        <v>22.5</v>
      </c>
      <c r="G63" s="62">
        <v>22.1</v>
      </c>
      <c r="H63" s="62">
        <v>22.5</v>
      </c>
      <c r="I63" s="62">
        <v>22.9</v>
      </c>
      <c r="J63" s="62">
        <v>23.7</v>
      </c>
      <c r="K63" s="62">
        <v>23.5</v>
      </c>
      <c r="L63" s="62">
        <v>23.3</v>
      </c>
      <c r="M63" s="62">
        <v>23.158820320723169</v>
      </c>
      <c r="N63" s="62">
        <v>23.303849749363795</v>
      </c>
      <c r="O63" s="62">
        <v>23.410443534113835</v>
      </c>
      <c r="P63" s="62">
        <v>23.203281716521573</v>
      </c>
      <c r="Q63" s="62">
        <v>23.856606399220034</v>
      </c>
      <c r="R63" s="62">
        <v>23.956897997214828</v>
      </c>
      <c r="S63" s="62">
        <v>24.214896011187509</v>
      </c>
      <c r="T63" s="62">
        <v>24.377132352989769</v>
      </c>
      <c r="U63" s="129"/>
      <c r="V63" s="129"/>
      <c r="W63" s="129"/>
      <c r="X63" s="129"/>
      <c r="Y63" s="129"/>
      <c r="Z63" s="129"/>
      <c r="AA63" s="129"/>
      <c r="AB63" s="129"/>
      <c r="AC63" s="129"/>
      <c r="AD63" s="129"/>
      <c r="AE63" s="129"/>
      <c r="AF63" s="129"/>
      <c r="AG63" s="129"/>
      <c r="AH63" s="129"/>
      <c r="AI63" s="129"/>
      <c r="AJ63" s="129"/>
      <c r="AK63" s="129"/>
      <c r="AL63" s="129"/>
      <c r="AM63" s="129"/>
      <c r="AN63" s="129"/>
      <c r="AO63" s="129"/>
      <c r="AP63" s="129"/>
      <c r="AQ63" s="129"/>
      <c r="AR63" s="129"/>
      <c r="AS63" s="129"/>
      <c r="AT63" s="129"/>
      <c r="AU63" s="129"/>
      <c r="AV63" s="129"/>
      <c r="AW63" s="129"/>
      <c r="AX63" s="129"/>
    </row>
    <row r="64" spans="1:50" s="144" customFormat="1" x14ac:dyDescent="0.3">
      <c r="A64" s="56" t="s">
        <v>176</v>
      </c>
      <c r="B64" s="62">
        <v>50</v>
      </c>
      <c r="C64" s="62">
        <v>50</v>
      </c>
      <c r="D64" s="62">
        <v>50</v>
      </c>
      <c r="E64" s="62">
        <v>50</v>
      </c>
      <c r="F64" s="62">
        <v>50</v>
      </c>
      <c r="G64" s="62">
        <v>55.2</v>
      </c>
      <c r="H64" s="62">
        <v>54.5</v>
      </c>
      <c r="I64" s="62">
        <v>42.7</v>
      </c>
      <c r="J64" s="62">
        <v>42.5</v>
      </c>
      <c r="K64" s="62">
        <v>43.2</v>
      </c>
      <c r="L64" s="62">
        <v>43.4</v>
      </c>
      <c r="M64" s="62">
        <v>43.48782932351007</v>
      </c>
      <c r="N64" s="62">
        <v>43.543168541788916</v>
      </c>
      <c r="O64" s="62">
        <v>43.544205343959533</v>
      </c>
      <c r="P64" s="62">
        <v>43.542163281903306</v>
      </c>
      <c r="Q64" s="62">
        <v>43.775951353768775</v>
      </c>
      <c r="R64" s="62">
        <v>43.892672058738519</v>
      </c>
      <c r="S64" s="62">
        <v>43.952970953494592</v>
      </c>
      <c r="T64" s="62">
        <v>43.963324589847097</v>
      </c>
      <c r="U64" s="129"/>
      <c r="V64" s="129"/>
      <c r="W64" s="129"/>
      <c r="X64" s="129"/>
      <c r="Y64" s="129"/>
      <c r="Z64" s="129"/>
      <c r="AA64" s="129"/>
      <c r="AB64" s="129"/>
      <c r="AC64" s="129"/>
      <c r="AD64" s="129"/>
      <c r="AE64" s="129"/>
      <c r="AF64" s="129"/>
      <c r="AG64" s="129"/>
      <c r="AH64" s="129"/>
      <c r="AI64" s="129"/>
      <c r="AJ64" s="129"/>
      <c r="AK64" s="129"/>
      <c r="AL64" s="129"/>
      <c r="AM64" s="129"/>
      <c r="AN64" s="129"/>
      <c r="AO64" s="129"/>
      <c r="AP64" s="129"/>
      <c r="AQ64" s="129"/>
      <c r="AR64" s="129"/>
      <c r="AS64" s="129"/>
      <c r="AT64" s="129"/>
      <c r="AU64" s="129"/>
      <c r="AV64" s="129"/>
      <c r="AW64" s="129"/>
      <c r="AX64" s="129"/>
    </row>
    <row r="65" spans="1:50" s="144" customFormat="1" x14ac:dyDescent="0.3">
      <c r="A65" s="56" t="s">
        <v>177</v>
      </c>
      <c r="B65" s="62">
        <v>6.8</v>
      </c>
      <c r="C65" s="62">
        <v>6.9</v>
      </c>
      <c r="D65" s="62">
        <v>6.8</v>
      </c>
      <c r="E65" s="62">
        <v>7</v>
      </c>
      <c r="F65" s="62">
        <v>5</v>
      </c>
      <c r="G65" s="62">
        <v>6.2</v>
      </c>
      <c r="H65" s="62">
        <v>5.9</v>
      </c>
      <c r="I65" s="62">
        <v>7.2</v>
      </c>
      <c r="J65" s="62">
        <v>7.2</v>
      </c>
      <c r="K65" s="62">
        <v>7.2</v>
      </c>
      <c r="L65" s="62">
        <v>7.2</v>
      </c>
      <c r="M65" s="62">
        <v>7.1313372803115573</v>
      </c>
      <c r="N65" s="62">
        <v>7.1648278190328822</v>
      </c>
      <c r="O65" s="62">
        <v>7.1656165302866102</v>
      </c>
      <c r="P65" s="62">
        <v>7.1640562808627912</v>
      </c>
      <c r="Q65" s="62">
        <v>7.2842785021443017</v>
      </c>
      <c r="R65" s="62">
        <v>7.3454698767184015</v>
      </c>
      <c r="S65" s="62">
        <v>7.329788186429866</v>
      </c>
      <c r="T65" s="62">
        <v>7.3395170519980004</v>
      </c>
      <c r="U65" s="129"/>
      <c r="V65" s="129"/>
      <c r="W65" s="129"/>
      <c r="X65" s="129"/>
      <c r="Y65" s="129"/>
      <c r="Z65" s="129"/>
      <c r="AA65" s="129"/>
      <c r="AB65" s="129"/>
      <c r="AC65" s="129"/>
      <c r="AD65" s="129"/>
      <c r="AE65" s="129"/>
      <c r="AF65" s="129"/>
      <c r="AG65" s="129"/>
      <c r="AH65" s="129"/>
      <c r="AI65" s="129"/>
      <c r="AJ65" s="129"/>
      <c r="AK65" s="129"/>
      <c r="AL65" s="129"/>
      <c r="AM65" s="129"/>
      <c r="AN65" s="129"/>
      <c r="AO65" s="129"/>
      <c r="AP65" s="129"/>
      <c r="AQ65" s="129"/>
      <c r="AR65" s="129"/>
      <c r="AS65" s="129"/>
      <c r="AT65" s="129"/>
      <c r="AU65" s="129"/>
      <c r="AV65" s="129"/>
      <c r="AW65" s="129"/>
      <c r="AX65" s="129"/>
    </row>
    <row r="66" spans="1:50" s="144" customFormat="1" x14ac:dyDescent="0.3">
      <c r="A66" s="56" t="s">
        <v>178</v>
      </c>
      <c r="B66" s="62">
        <v>17.399999999999999</v>
      </c>
      <c r="C66" s="62">
        <v>17.600000000000001</v>
      </c>
      <c r="D66" s="62">
        <v>17.5</v>
      </c>
      <c r="E66" s="62">
        <v>16.2</v>
      </c>
      <c r="F66" s="62">
        <v>16.2</v>
      </c>
      <c r="G66" s="62">
        <v>17.7</v>
      </c>
      <c r="H66" s="62">
        <v>17.8</v>
      </c>
      <c r="I66" s="62">
        <v>17.100000000000001</v>
      </c>
      <c r="J66" s="62">
        <v>17.3</v>
      </c>
      <c r="K66" s="62">
        <v>17.3</v>
      </c>
      <c r="L66" s="62">
        <v>17.2</v>
      </c>
      <c r="M66" s="62">
        <v>17.098684146335689</v>
      </c>
      <c r="N66" s="62">
        <v>17.128315598116465</v>
      </c>
      <c r="O66" s="62">
        <v>17.159536947838717</v>
      </c>
      <c r="P66" s="62">
        <v>17.097833372547274</v>
      </c>
      <c r="Q66" s="62">
        <v>17.340799670730558</v>
      </c>
      <c r="R66" s="62">
        <v>17.397560486833804</v>
      </c>
      <c r="S66" s="62">
        <v>17.524272594773368</v>
      </c>
      <c r="T66" s="62">
        <v>17.867885189527225</v>
      </c>
      <c r="U66" s="129"/>
      <c r="V66" s="129"/>
      <c r="W66" s="129"/>
      <c r="X66" s="129"/>
      <c r="Y66" s="129"/>
      <c r="Z66" s="129"/>
      <c r="AA66" s="129"/>
      <c r="AB66" s="129"/>
      <c r="AC66" s="129"/>
      <c r="AD66" s="129"/>
      <c r="AE66" s="129"/>
      <c r="AF66" s="129"/>
      <c r="AG66" s="129"/>
      <c r="AH66" s="129"/>
      <c r="AI66" s="129"/>
      <c r="AJ66" s="129"/>
      <c r="AK66" s="129"/>
      <c r="AL66" s="129"/>
      <c r="AM66" s="129"/>
      <c r="AN66" s="129"/>
      <c r="AO66" s="129"/>
      <c r="AP66" s="129"/>
      <c r="AQ66" s="129"/>
      <c r="AR66" s="129"/>
      <c r="AS66" s="129"/>
      <c r="AT66" s="129"/>
      <c r="AU66" s="129"/>
      <c r="AV66" s="129"/>
      <c r="AW66" s="129"/>
      <c r="AX66" s="129"/>
    </row>
    <row r="67" spans="1:50" s="144" customFormat="1" x14ac:dyDescent="0.3">
      <c r="A67" s="56" t="s">
        <v>179</v>
      </c>
      <c r="B67" s="62">
        <v>7.4</v>
      </c>
      <c r="C67" s="62">
        <v>7.5</v>
      </c>
      <c r="D67" s="62">
        <v>7.4</v>
      </c>
      <c r="E67" s="62">
        <v>8.8000000000000007</v>
      </c>
      <c r="F67" s="62">
        <v>8.8000000000000007</v>
      </c>
      <c r="G67" s="62">
        <v>8.3000000000000007</v>
      </c>
      <c r="H67" s="62">
        <v>8.1999999999999993</v>
      </c>
      <c r="I67" s="62">
        <v>7.3</v>
      </c>
      <c r="J67" s="62">
        <v>7.4</v>
      </c>
      <c r="K67" s="62">
        <v>7.4</v>
      </c>
      <c r="L67" s="62">
        <v>7.3</v>
      </c>
      <c r="M67" s="62">
        <v>7.3021375605976946</v>
      </c>
      <c r="N67" s="62">
        <v>7.346800750178704</v>
      </c>
      <c r="O67" s="62">
        <v>7.3494776127153481</v>
      </c>
      <c r="P67" s="62">
        <v>7.3386863678087515</v>
      </c>
      <c r="Q67" s="62">
        <v>7.3800375790371726</v>
      </c>
      <c r="R67" s="62">
        <v>7.3891253262722572</v>
      </c>
      <c r="S67" s="62">
        <v>7.4425305969383597</v>
      </c>
      <c r="T67" s="62">
        <v>7.5060994873556677</v>
      </c>
      <c r="U67" s="129"/>
      <c r="V67" s="129"/>
      <c r="W67" s="129"/>
      <c r="X67" s="129"/>
      <c r="Y67" s="129"/>
      <c r="Z67" s="129"/>
      <c r="AA67" s="129"/>
      <c r="AB67" s="129"/>
      <c r="AC67" s="129"/>
      <c r="AD67" s="129"/>
      <c r="AE67" s="129"/>
      <c r="AF67" s="129"/>
      <c r="AG67" s="129"/>
      <c r="AH67" s="129"/>
      <c r="AI67" s="129"/>
      <c r="AJ67" s="129"/>
      <c r="AK67" s="129"/>
      <c r="AL67" s="129"/>
      <c r="AM67" s="129"/>
      <c r="AN67" s="129"/>
      <c r="AO67" s="129"/>
      <c r="AP67" s="129"/>
      <c r="AQ67" s="129"/>
      <c r="AR67" s="129"/>
      <c r="AS67" s="129"/>
      <c r="AT67" s="129"/>
      <c r="AU67" s="129"/>
      <c r="AV67" s="129"/>
      <c r="AW67" s="129"/>
      <c r="AX67" s="129"/>
    </row>
    <row r="68" spans="1:50" s="144" customFormat="1" x14ac:dyDescent="0.3">
      <c r="A68" s="56" t="s">
        <v>180</v>
      </c>
      <c r="B68" s="62">
        <v>5.3</v>
      </c>
      <c r="C68" s="62">
        <v>5.4</v>
      </c>
      <c r="D68" s="62">
        <v>5.2</v>
      </c>
      <c r="E68" s="62">
        <v>5.9</v>
      </c>
      <c r="F68" s="62">
        <v>5.9</v>
      </c>
      <c r="G68" s="62">
        <v>5.2</v>
      </c>
      <c r="H68" s="62">
        <v>5.0999999999999996</v>
      </c>
      <c r="I68" s="62">
        <v>6</v>
      </c>
      <c r="J68" s="62">
        <v>6</v>
      </c>
      <c r="K68" s="62">
        <v>6</v>
      </c>
      <c r="L68" s="62">
        <v>5.9</v>
      </c>
      <c r="M68" s="62">
        <v>5.8121098087814689</v>
      </c>
      <c r="N68" s="62">
        <v>5.849764503331528</v>
      </c>
      <c r="O68" s="62">
        <v>5.8494762488083776</v>
      </c>
      <c r="P68" s="62">
        <v>5.8325497675490583</v>
      </c>
      <c r="Q68" s="62">
        <v>5.8937474090051056</v>
      </c>
      <c r="R68" s="62">
        <v>5.906245908230578</v>
      </c>
      <c r="S68" s="62">
        <v>5.9772364270078482</v>
      </c>
      <c r="T68" s="62">
        <v>6.0730339722657076</v>
      </c>
      <c r="U68" s="129"/>
      <c r="V68" s="129"/>
      <c r="W68" s="129"/>
      <c r="X68" s="129"/>
      <c r="Y68" s="129"/>
      <c r="Z68" s="129"/>
      <c r="AA68" s="129"/>
      <c r="AB68" s="129"/>
      <c r="AC68" s="129"/>
      <c r="AD68" s="129"/>
      <c r="AE68" s="129"/>
      <c r="AF68" s="129"/>
      <c r="AG68" s="129"/>
      <c r="AH68" s="129"/>
      <c r="AI68" s="129"/>
      <c r="AJ68" s="129"/>
      <c r="AK68" s="129"/>
      <c r="AL68" s="129"/>
      <c r="AM68" s="129"/>
      <c r="AN68" s="129"/>
      <c r="AO68" s="129"/>
      <c r="AP68" s="129"/>
      <c r="AQ68" s="129"/>
      <c r="AR68" s="129"/>
      <c r="AS68" s="129"/>
      <c r="AT68" s="129"/>
      <c r="AU68" s="129"/>
      <c r="AV68" s="129"/>
      <c r="AW68" s="129"/>
      <c r="AX68" s="129"/>
    </row>
    <row r="69" spans="1:50" s="144" customFormat="1" x14ac:dyDescent="0.3">
      <c r="A69" s="56" t="s">
        <v>181</v>
      </c>
      <c r="B69" s="62">
        <v>20</v>
      </c>
      <c r="C69" s="62">
        <v>20.2</v>
      </c>
      <c r="D69" s="62">
        <v>20.100000000000001</v>
      </c>
      <c r="E69" s="62">
        <v>19.5</v>
      </c>
      <c r="F69" s="62">
        <v>19.600000000000001</v>
      </c>
      <c r="G69" s="62">
        <v>20.2</v>
      </c>
      <c r="H69" s="62">
        <v>20.399999999999999</v>
      </c>
      <c r="I69" s="62">
        <v>21.3</v>
      </c>
      <c r="J69" s="62">
        <v>21.8</v>
      </c>
      <c r="K69" s="62">
        <v>21.7</v>
      </c>
      <c r="L69" s="62">
        <v>21.5</v>
      </c>
      <c r="M69" s="62">
        <v>21.427662469217953</v>
      </c>
      <c r="N69" s="62">
        <v>21.550948320737355</v>
      </c>
      <c r="O69" s="62">
        <v>21.634777282085086</v>
      </c>
      <c r="P69" s="62">
        <v>21.402990506023979</v>
      </c>
      <c r="Q69" s="62">
        <v>21.97931346871923</v>
      </c>
      <c r="R69" s="62">
        <v>22.038465017853031</v>
      </c>
      <c r="S69" s="62">
        <v>22.274363290073236</v>
      </c>
      <c r="T69" s="62">
        <v>22.497301151481466</v>
      </c>
      <c r="U69" s="129"/>
      <c r="V69" s="129"/>
      <c r="W69" s="129"/>
      <c r="X69" s="129"/>
      <c r="Y69" s="129"/>
      <c r="Z69" s="129"/>
      <c r="AA69" s="129"/>
      <c r="AB69" s="129"/>
      <c r="AC69" s="129"/>
      <c r="AD69" s="129"/>
      <c r="AE69" s="129"/>
      <c r="AF69" s="129"/>
      <c r="AG69" s="129"/>
      <c r="AH69" s="129"/>
      <c r="AI69" s="129"/>
      <c r="AJ69" s="129"/>
      <c r="AK69" s="129"/>
      <c r="AL69" s="129"/>
      <c r="AM69" s="129"/>
      <c r="AN69" s="129"/>
      <c r="AO69" s="129"/>
      <c r="AP69" s="129"/>
      <c r="AQ69" s="129"/>
      <c r="AR69" s="129"/>
      <c r="AS69" s="129"/>
      <c r="AT69" s="129"/>
      <c r="AU69" s="129"/>
      <c r="AV69" s="129"/>
      <c r="AW69" s="129"/>
      <c r="AX69" s="129"/>
    </row>
    <row r="70" spans="1:50" s="144" customFormat="1" ht="28.8" x14ac:dyDescent="0.3">
      <c r="A70" s="59" t="s">
        <v>182</v>
      </c>
      <c r="B70" s="62">
        <v>5.8</v>
      </c>
      <c r="C70" s="62">
        <v>5.9</v>
      </c>
      <c r="D70" s="62">
        <v>5.8</v>
      </c>
      <c r="E70" s="62">
        <v>6.7</v>
      </c>
      <c r="F70" s="62">
        <v>6.7</v>
      </c>
      <c r="G70" s="62">
        <v>6</v>
      </c>
      <c r="H70" s="62">
        <v>5.9</v>
      </c>
      <c r="I70" s="62">
        <v>6.4</v>
      </c>
      <c r="J70" s="62">
        <v>6.5</v>
      </c>
      <c r="K70" s="62">
        <v>6.5</v>
      </c>
      <c r="L70" s="62">
        <v>6.4</v>
      </c>
      <c r="M70" s="62">
        <v>6.3117124025512261</v>
      </c>
      <c r="N70" s="62">
        <v>6.3564301439315365</v>
      </c>
      <c r="O70" s="62">
        <v>6.3518886261683818</v>
      </c>
      <c r="P70" s="62">
        <v>6.3422389335274367</v>
      </c>
      <c r="Q70" s="62">
        <v>6.3984106804597758</v>
      </c>
      <c r="R70" s="62">
        <v>6.4128962474968345</v>
      </c>
      <c r="S70" s="62">
        <v>6.4745531800873035</v>
      </c>
      <c r="T70" s="62">
        <v>6.569613600562592</v>
      </c>
      <c r="U70" s="129"/>
      <c r="V70" s="129"/>
      <c r="W70" s="129"/>
      <c r="X70" s="129"/>
      <c r="Y70" s="129"/>
      <c r="Z70" s="129"/>
      <c r="AA70" s="129"/>
      <c r="AB70" s="129"/>
      <c r="AC70" s="129"/>
      <c r="AD70" s="129"/>
      <c r="AE70" s="129"/>
      <c r="AF70" s="129"/>
      <c r="AG70" s="129"/>
      <c r="AH70" s="129"/>
      <c r="AI70" s="129"/>
      <c r="AJ70" s="129"/>
      <c r="AK70" s="129"/>
      <c r="AL70" s="129"/>
      <c r="AM70" s="129"/>
      <c r="AN70" s="129"/>
      <c r="AO70" s="129"/>
      <c r="AP70" s="129"/>
      <c r="AQ70" s="129"/>
      <c r="AR70" s="129"/>
      <c r="AS70" s="129"/>
      <c r="AT70" s="129"/>
      <c r="AU70" s="129"/>
      <c r="AV70" s="129"/>
      <c r="AW70" s="129"/>
      <c r="AX70" s="129"/>
    </row>
    <row r="71" spans="1:50" s="144" customFormat="1" x14ac:dyDescent="0.3">
      <c r="A71" s="56" t="s">
        <v>183</v>
      </c>
      <c r="B71" s="62">
        <v>16.899999999999999</v>
      </c>
      <c r="C71" s="62">
        <v>17.100000000000001</v>
      </c>
      <c r="D71" s="62">
        <v>16.899999999999999</v>
      </c>
      <c r="E71" s="62">
        <v>17</v>
      </c>
      <c r="F71" s="62">
        <v>17.100000000000001</v>
      </c>
      <c r="G71" s="62">
        <v>17.100000000000001</v>
      </c>
      <c r="H71" s="62">
        <v>17.2</v>
      </c>
      <c r="I71" s="62">
        <v>17.2</v>
      </c>
      <c r="J71" s="62">
        <v>17.399999999999999</v>
      </c>
      <c r="K71" s="62">
        <v>17.600000000000001</v>
      </c>
      <c r="L71" s="62">
        <v>17.399999999999999</v>
      </c>
      <c r="M71" s="62">
        <v>17.514763219466658</v>
      </c>
      <c r="N71" s="62">
        <v>17.630046086424681</v>
      </c>
      <c r="O71" s="62">
        <v>17.614284410247016</v>
      </c>
      <c r="P71" s="62">
        <v>17.45431520920242</v>
      </c>
      <c r="Q71" s="62">
        <v>17.904647177985144</v>
      </c>
      <c r="R71" s="62">
        <v>17.945530745688718</v>
      </c>
      <c r="S71" s="62">
        <v>18.051856075609273</v>
      </c>
      <c r="T71" s="62">
        <v>18.190761668260162</v>
      </c>
      <c r="U71" s="129"/>
      <c r="V71" s="129"/>
      <c r="W71" s="129"/>
      <c r="X71" s="129"/>
      <c r="Y71" s="129"/>
      <c r="Z71" s="129"/>
      <c r="AA71" s="129"/>
      <c r="AB71" s="129"/>
      <c r="AC71" s="129"/>
      <c r="AD71" s="129"/>
      <c r="AE71" s="129"/>
      <c r="AF71" s="129"/>
      <c r="AG71" s="129"/>
      <c r="AH71" s="129"/>
      <c r="AI71" s="129"/>
      <c r="AJ71" s="129"/>
      <c r="AK71" s="129"/>
      <c r="AL71" s="129"/>
      <c r="AM71" s="129"/>
      <c r="AN71" s="129"/>
      <c r="AO71" s="129"/>
      <c r="AP71" s="129"/>
      <c r="AQ71" s="129"/>
      <c r="AR71" s="129"/>
      <c r="AS71" s="129"/>
      <c r="AT71" s="129"/>
      <c r="AU71" s="129"/>
      <c r="AV71" s="129"/>
      <c r="AW71" s="129"/>
      <c r="AX71" s="129"/>
    </row>
    <row r="72" spans="1:50" s="144" customFormat="1" x14ac:dyDescent="0.3">
      <c r="A72" s="56" t="s">
        <v>184</v>
      </c>
      <c r="B72" s="62">
        <v>2.5299999999999998</v>
      </c>
      <c r="C72" s="62">
        <v>2.5299999999999998</v>
      </c>
      <c r="D72" s="62">
        <v>2.5299999999999998</v>
      </c>
      <c r="E72" s="62">
        <v>2.5299999999999998</v>
      </c>
      <c r="F72" s="62">
        <v>2.5299999999999998</v>
      </c>
      <c r="G72" s="62">
        <v>2.5299999999999998</v>
      </c>
      <c r="H72" s="62">
        <v>2.5299999999999998</v>
      </c>
      <c r="I72" s="62">
        <v>2.5299999999999998</v>
      </c>
      <c r="J72" s="62">
        <v>2.5299999999999998</v>
      </c>
      <c r="K72" s="62">
        <v>2.5299999999999998</v>
      </c>
      <c r="L72" s="62">
        <v>2.5299999999999998</v>
      </c>
      <c r="M72" s="62">
        <v>2.5299999999999998</v>
      </c>
      <c r="N72" s="62">
        <v>2.5299999999999998</v>
      </c>
      <c r="O72" s="62">
        <v>2.5299999999999998</v>
      </c>
      <c r="P72" s="62">
        <v>2.5299999999999998</v>
      </c>
      <c r="Q72" s="62">
        <v>2.5299999999999998</v>
      </c>
      <c r="R72" s="62">
        <v>2.5299999999999998</v>
      </c>
      <c r="S72" s="62">
        <v>2.5299999999999998</v>
      </c>
      <c r="T72" s="62">
        <v>2.5299999999999998</v>
      </c>
      <c r="U72" s="129"/>
      <c r="V72" s="129"/>
      <c r="W72" s="129"/>
      <c r="X72" s="129"/>
      <c r="Y72" s="129"/>
      <c r="Z72" s="129"/>
      <c r="AA72" s="129"/>
      <c r="AB72" s="129"/>
      <c r="AC72" s="129"/>
      <c r="AD72" s="129"/>
      <c r="AE72" s="129"/>
      <c r="AF72" s="129"/>
      <c r="AG72" s="129"/>
      <c r="AH72" s="129"/>
      <c r="AI72" s="129"/>
      <c r="AJ72" s="129"/>
      <c r="AK72" s="129"/>
      <c r="AL72" s="129"/>
      <c r="AM72" s="129"/>
      <c r="AN72" s="129"/>
      <c r="AO72" s="129"/>
      <c r="AP72" s="129"/>
      <c r="AQ72" s="129"/>
      <c r="AR72" s="129"/>
      <c r="AS72" s="129"/>
      <c r="AT72" s="129"/>
      <c r="AU72" s="129"/>
      <c r="AV72" s="129"/>
      <c r="AW72" s="129"/>
      <c r="AX72" s="129"/>
    </row>
    <row r="73" spans="1:50" x14ac:dyDescent="0.3">
      <c r="A73" s="150" t="s">
        <v>67</v>
      </c>
      <c r="B73" s="151" t="s">
        <v>185</v>
      </c>
      <c r="C73" s="152"/>
      <c r="D73" s="152"/>
      <c r="E73" s="152"/>
      <c r="F73" s="152"/>
      <c r="G73" s="152"/>
      <c r="H73" s="152"/>
      <c r="I73" s="152"/>
      <c r="J73" s="152"/>
      <c r="K73" s="152"/>
      <c r="L73" s="152"/>
      <c r="M73" s="152"/>
      <c r="N73" s="152"/>
      <c r="O73" s="152"/>
      <c r="P73" s="152"/>
      <c r="Q73" s="152"/>
      <c r="R73" s="152"/>
      <c r="S73" s="152"/>
      <c r="T73" s="152"/>
    </row>
    <row r="75" spans="1:50" s="138" customFormat="1" ht="18" x14ac:dyDescent="0.35">
      <c r="A75" s="117" t="s">
        <v>1095</v>
      </c>
      <c r="B75" s="117" t="s">
        <v>186</v>
      </c>
      <c r="C75" s="117"/>
      <c r="D75" s="117"/>
      <c r="E75" s="117"/>
      <c r="F75" s="117"/>
      <c r="G75" s="117"/>
      <c r="H75" s="117"/>
      <c r="I75" s="117"/>
      <c r="J75" s="117"/>
      <c r="K75" s="117"/>
      <c r="L75" s="117"/>
      <c r="M75" s="117"/>
      <c r="N75" s="117"/>
      <c r="O75" s="117"/>
      <c r="P75" s="117"/>
      <c r="Q75" s="117"/>
      <c r="R75" s="117"/>
      <c r="S75" s="117"/>
      <c r="T75" s="117"/>
      <c r="U75" s="117"/>
      <c r="V75" s="117"/>
      <c r="W75" s="117"/>
      <c r="X75" s="117"/>
      <c r="Y75" s="117"/>
      <c r="Z75" s="117"/>
      <c r="AA75" s="117"/>
      <c r="AB75" s="117"/>
      <c r="AC75" s="117"/>
      <c r="AD75" s="117"/>
      <c r="AE75" s="117"/>
      <c r="AF75" s="117"/>
      <c r="AG75" s="117"/>
      <c r="AH75" s="117"/>
      <c r="AI75" s="117"/>
      <c r="AJ75" s="117"/>
      <c r="AK75" s="117"/>
      <c r="AL75" s="117"/>
      <c r="AM75" s="117"/>
      <c r="AN75" s="117"/>
      <c r="AO75" s="117"/>
      <c r="AP75" s="117"/>
      <c r="AQ75" s="117"/>
      <c r="AR75" s="117"/>
      <c r="AS75" s="117"/>
      <c r="AT75" s="117"/>
      <c r="AU75" s="117"/>
      <c r="AV75" s="117"/>
      <c r="AW75" s="117"/>
      <c r="AX75" s="117"/>
    </row>
    <row r="76" spans="1:50" s="189" customFormat="1" x14ac:dyDescent="0.3">
      <c r="A76" s="57" t="s">
        <v>61</v>
      </c>
      <c r="B76" s="154">
        <v>2000</v>
      </c>
      <c r="C76" s="154">
        <v>2001</v>
      </c>
      <c r="D76" s="154">
        <v>2002</v>
      </c>
      <c r="E76" s="154">
        <v>2003</v>
      </c>
      <c r="F76" s="154">
        <v>2004</v>
      </c>
      <c r="G76" s="154">
        <v>2005</v>
      </c>
      <c r="H76" s="154">
        <v>2006</v>
      </c>
      <c r="I76" s="154">
        <v>2007</v>
      </c>
      <c r="J76" s="154">
        <v>2008</v>
      </c>
      <c r="K76" s="154">
        <v>2009</v>
      </c>
      <c r="L76" s="154">
        <v>2010</v>
      </c>
      <c r="M76" s="154">
        <v>2011</v>
      </c>
      <c r="N76" s="154">
        <v>2012</v>
      </c>
      <c r="O76" s="154">
        <v>2013</v>
      </c>
      <c r="P76" s="154">
        <v>2014</v>
      </c>
      <c r="Q76" s="154">
        <v>2015</v>
      </c>
      <c r="R76" s="154">
        <v>2016</v>
      </c>
      <c r="S76" s="154">
        <v>2017</v>
      </c>
      <c r="T76" s="154">
        <v>2018</v>
      </c>
      <c r="U76" s="155"/>
      <c r="V76" s="155"/>
      <c r="W76" s="155"/>
      <c r="X76" s="155"/>
      <c r="Y76" s="155"/>
      <c r="Z76" s="155"/>
      <c r="AA76" s="155"/>
      <c r="AB76" s="155"/>
      <c r="AC76" s="155"/>
      <c r="AD76" s="155"/>
      <c r="AE76" s="155"/>
      <c r="AF76" s="155"/>
      <c r="AG76" s="155"/>
      <c r="AH76" s="155"/>
      <c r="AI76" s="155"/>
      <c r="AJ76" s="155"/>
      <c r="AK76" s="155"/>
      <c r="AL76" s="155"/>
      <c r="AM76" s="155"/>
      <c r="AN76" s="155"/>
      <c r="AO76" s="155"/>
      <c r="AP76" s="155"/>
      <c r="AQ76" s="155"/>
      <c r="AR76" s="155"/>
      <c r="AS76" s="155"/>
      <c r="AT76" s="155"/>
      <c r="AU76" s="155"/>
      <c r="AV76" s="155"/>
      <c r="AW76" s="155"/>
      <c r="AX76" s="155"/>
    </row>
    <row r="77" spans="1:50" s="189" customFormat="1" x14ac:dyDescent="0.3">
      <c r="A77" s="235" t="s">
        <v>187</v>
      </c>
      <c r="B77" s="64"/>
      <c r="C77" s="64"/>
      <c r="D77" s="64"/>
      <c r="E77" s="64"/>
      <c r="F77" s="64"/>
      <c r="G77" s="64"/>
      <c r="H77" s="64"/>
      <c r="I77" s="64"/>
      <c r="J77" s="64"/>
      <c r="K77" s="64"/>
      <c r="L77" s="64">
        <v>1.4999999999999999E-2</v>
      </c>
      <c r="M77" s="64">
        <v>1.4999999999999999E-2</v>
      </c>
      <c r="N77" s="64">
        <f>M77</f>
        <v>1.4999999999999999E-2</v>
      </c>
      <c r="O77" s="64">
        <v>1.4999999999999999E-2</v>
      </c>
      <c r="P77" s="64">
        <v>1.4999999999999999E-2</v>
      </c>
      <c r="Q77" s="64">
        <v>1.4999999999999999E-2</v>
      </c>
      <c r="R77" s="64">
        <f t="shared" ref="R77:T78" si="22">Q77</f>
        <v>1.4999999999999999E-2</v>
      </c>
      <c r="S77" s="64">
        <f t="shared" si="22"/>
        <v>1.4999999999999999E-2</v>
      </c>
      <c r="T77" s="64">
        <f t="shared" si="22"/>
        <v>1.4999999999999999E-2</v>
      </c>
      <c r="U77" s="155"/>
      <c r="V77" s="155"/>
      <c r="W77" s="155"/>
      <c r="X77" s="155"/>
      <c r="Y77" s="155"/>
      <c r="Z77" s="155"/>
      <c r="AA77" s="155"/>
      <c r="AB77" s="155"/>
      <c r="AC77" s="155"/>
      <c r="AD77" s="155"/>
      <c r="AE77" s="155"/>
      <c r="AF77" s="155"/>
      <c r="AG77" s="155"/>
      <c r="AH77" s="155"/>
      <c r="AI77" s="155"/>
      <c r="AJ77" s="155"/>
      <c r="AK77" s="155"/>
      <c r="AL77" s="155"/>
      <c r="AM77" s="155"/>
      <c r="AN77" s="155"/>
      <c r="AO77" s="155"/>
      <c r="AP77" s="155"/>
      <c r="AQ77" s="155"/>
      <c r="AR77" s="155"/>
      <c r="AS77" s="155"/>
      <c r="AT77" s="155"/>
      <c r="AU77" s="155"/>
      <c r="AV77" s="155"/>
      <c r="AW77" s="155"/>
      <c r="AX77" s="155"/>
    </row>
    <row r="78" spans="1:50" s="189" customFormat="1" x14ac:dyDescent="0.3">
      <c r="A78" s="235" t="s">
        <v>188</v>
      </c>
      <c r="B78" s="64"/>
      <c r="C78" s="64"/>
      <c r="D78" s="64"/>
      <c r="E78" s="64"/>
      <c r="F78" s="64">
        <v>1E-3</v>
      </c>
      <c r="G78" s="64">
        <v>1E-3</v>
      </c>
      <c r="H78" s="64">
        <v>0</v>
      </c>
      <c r="I78" s="64">
        <v>0</v>
      </c>
      <c r="J78" s="64"/>
      <c r="K78" s="64">
        <v>0</v>
      </c>
      <c r="L78" s="64">
        <v>0</v>
      </c>
      <c r="M78" s="64">
        <v>0</v>
      </c>
      <c r="N78" s="64">
        <f>M78</f>
        <v>0</v>
      </c>
      <c r="O78" s="64">
        <v>0</v>
      </c>
      <c r="P78" s="64">
        <v>0</v>
      </c>
      <c r="Q78" s="64">
        <v>0</v>
      </c>
      <c r="R78" s="64">
        <f t="shared" si="22"/>
        <v>0</v>
      </c>
      <c r="S78" s="64">
        <f t="shared" si="22"/>
        <v>0</v>
      </c>
      <c r="T78" s="64">
        <f t="shared" si="22"/>
        <v>0</v>
      </c>
      <c r="U78" s="155"/>
      <c r="V78" s="155"/>
      <c r="W78" s="155"/>
      <c r="X78" s="155"/>
      <c r="Y78" s="155"/>
      <c r="Z78" s="155"/>
      <c r="AA78" s="155"/>
      <c r="AB78" s="155"/>
      <c r="AC78" s="155"/>
      <c r="AD78" s="155"/>
      <c r="AE78" s="155"/>
      <c r="AF78" s="155"/>
      <c r="AG78" s="155"/>
      <c r="AH78" s="155"/>
      <c r="AI78" s="155"/>
      <c r="AJ78" s="155"/>
      <c r="AK78" s="155"/>
      <c r="AL78" s="155"/>
      <c r="AM78" s="155"/>
      <c r="AN78" s="155"/>
      <c r="AO78" s="155"/>
      <c r="AP78" s="155"/>
      <c r="AQ78" s="155"/>
      <c r="AR78" s="155"/>
      <c r="AS78" s="155"/>
      <c r="AT78" s="155"/>
      <c r="AU78" s="155"/>
      <c r="AV78" s="155"/>
      <c r="AW78" s="155"/>
      <c r="AX78" s="155"/>
    </row>
    <row r="79" spans="1:50" s="189" customFormat="1" x14ac:dyDescent="0.3">
      <c r="A79" s="235" t="s">
        <v>189</v>
      </c>
      <c r="B79" s="64"/>
      <c r="C79" s="64"/>
      <c r="D79" s="64"/>
      <c r="E79" s="64"/>
      <c r="F79" s="64">
        <v>9.1999999999999998E-2</v>
      </c>
      <c r="G79" s="64">
        <v>9.5000000000000001E-2</v>
      </c>
      <c r="H79" s="64">
        <v>0.10100000000000001</v>
      </c>
      <c r="I79" s="64">
        <v>0.104</v>
      </c>
      <c r="J79" s="64"/>
      <c r="K79" s="64">
        <v>0.129</v>
      </c>
      <c r="L79" s="64">
        <f>K79</f>
        <v>0.129</v>
      </c>
      <c r="M79" s="64">
        <f t="shared" ref="M79:T79" si="23">L79</f>
        <v>0.129</v>
      </c>
      <c r="N79" s="64">
        <f t="shared" si="23"/>
        <v>0.129</v>
      </c>
      <c r="O79" s="64">
        <f t="shared" si="23"/>
        <v>0.129</v>
      </c>
      <c r="P79" s="64">
        <f t="shared" si="23"/>
        <v>0.129</v>
      </c>
      <c r="Q79" s="64">
        <f t="shared" si="23"/>
        <v>0.129</v>
      </c>
      <c r="R79" s="64">
        <f t="shared" si="23"/>
        <v>0.129</v>
      </c>
      <c r="S79" s="64">
        <f t="shared" si="23"/>
        <v>0.129</v>
      </c>
      <c r="T79" s="64">
        <f t="shared" si="23"/>
        <v>0.129</v>
      </c>
      <c r="U79" s="155"/>
      <c r="V79" s="155"/>
      <c r="W79" s="155"/>
      <c r="X79" s="155"/>
      <c r="Y79" s="155"/>
      <c r="Z79" s="155"/>
      <c r="AA79" s="155"/>
      <c r="AB79" s="155"/>
      <c r="AC79" s="155"/>
      <c r="AD79" s="155"/>
      <c r="AE79" s="155"/>
      <c r="AF79" s="155"/>
      <c r="AG79" s="155"/>
      <c r="AH79" s="155"/>
      <c r="AI79" s="155"/>
      <c r="AJ79" s="155"/>
      <c r="AK79" s="155"/>
      <c r="AL79" s="155"/>
      <c r="AM79" s="155"/>
      <c r="AN79" s="155"/>
      <c r="AO79" s="155"/>
      <c r="AP79" s="155"/>
      <c r="AQ79" s="155"/>
      <c r="AR79" s="155"/>
      <c r="AS79" s="155"/>
      <c r="AT79" s="155"/>
      <c r="AU79" s="155"/>
      <c r="AV79" s="155"/>
      <c r="AW79" s="155"/>
      <c r="AX79" s="155"/>
    </row>
    <row r="80" spans="1:50" s="189" customFormat="1" x14ac:dyDescent="0.3">
      <c r="A80" s="235" t="s">
        <v>190</v>
      </c>
      <c r="B80" s="64"/>
      <c r="C80" s="64"/>
      <c r="D80" s="64"/>
      <c r="E80" s="64"/>
      <c r="F80" s="64">
        <v>0.68600000000000005</v>
      </c>
      <c r="G80" s="64">
        <v>0.68600000000000005</v>
      </c>
      <c r="H80" s="64">
        <v>0.68600000000000005</v>
      </c>
      <c r="I80" s="64">
        <v>0.42499999999999999</v>
      </c>
      <c r="J80" s="64"/>
      <c r="K80" s="64">
        <v>0.441</v>
      </c>
      <c r="L80" s="64">
        <v>0.48</v>
      </c>
      <c r="M80" s="64">
        <v>0.42</v>
      </c>
      <c r="N80" s="64">
        <f>M80</f>
        <v>0.42</v>
      </c>
      <c r="O80" s="64">
        <v>0.4</v>
      </c>
      <c r="P80" s="64">
        <v>0.44</v>
      </c>
      <c r="Q80" s="64">
        <v>0.38</v>
      </c>
      <c r="R80" s="64">
        <f>Q80</f>
        <v>0.38</v>
      </c>
      <c r="S80" s="64">
        <f t="shared" ref="S80:T80" si="24">R80</f>
        <v>0.38</v>
      </c>
      <c r="T80" s="64">
        <f t="shared" si="24"/>
        <v>0.38</v>
      </c>
      <c r="U80" s="155"/>
      <c r="V80" s="155"/>
      <c r="W80" s="155"/>
      <c r="X80" s="155"/>
      <c r="Y80" s="155"/>
      <c r="Z80" s="155"/>
      <c r="AA80" s="155"/>
      <c r="AB80" s="155"/>
      <c r="AC80" s="155"/>
      <c r="AD80" s="155"/>
      <c r="AE80" s="155"/>
      <c r="AF80" s="155"/>
      <c r="AG80" s="155"/>
      <c r="AH80" s="155"/>
      <c r="AI80" s="155"/>
      <c r="AJ80" s="155"/>
      <c r="AK80" s="155"/>
      <c r="AL80" s="155"/>
      <c r="AM80" s="155"/>
      <c r="AN80" s="155"/>
      <c r="AO80" s="155"/>
      <c r="AP80" s="155"/>
      <c r="AQ80" s="155"/>
      <c r="AR80" s="155"/>
      <c r="AS80" s="155"/>
      <c r="AT80" s="155"/>
      <c r="AU80" s="155"/>
      <c r="AV80" s="155"/>
      <c r="AW80" s="155"/>
      <c r="AX80" s="155"/>
    </row>
    <row r="81" spans="1:50" s="189" customFormat="1" x14ac:dyDescent="0.3">
      <c r="A81" s="59" t="s">
        <v>191</v>
      </c>
      <c r="B81" s="66">
        <v>0.62</v>
      </c>
      <c r="C81" s="66">
        <v>0.91</v>
      </c>
      <c r="D81" s="66">
        <v>0.68</v>
      </c>
      <c r="E81" s="66">
        <v>0.74</v>
      </c>
      <c r="F81" s="66">
        <v>0.71</v>
      </c>
      <c r="G81" s="66">
        <v>0.74</v>
      </c>
      <c r="H81" s="66">
        <v>0.76</v>
      </c>
      <c r="I81" s="66">
        <v>0.78</v>
      </c>
      <c r="J81" s="66">
        <v>0.81</v>
      </c>
      <c r="K81" s="66">
        <v>0.87</v>
      </c>
      <c r="L81" s="66">
        <v>0.94</v>
      </c>
      <c r="M81" s="66">
        <v>0.82</v>
      </c>
      <c r="N81" s="66">
        <v>0.14000000000000001</v>
      </c>
      <c r="O81" s="66">
        <v>0.39</v>
      </c>
      <c r="P81" s="66">
        <v>0.32</v>
      </c>
      <c r="Q81" s="66">
        <v>0.24</v>
      </c>
      <c r="R81" s="66">
        <v>0.21</v>
      </c>
      <c r="S81" s="66">
        <v>0.16</v>
      </c>
      <c r="T81" s="66">
        <v>0.18</v>
      </c>
      <c r="U81" s="155"/>
      <c r="V81" s="155"/>
      <c r="W81" s="155"/>
      <c r="X81" s="155"/>
      <c r="Y81" s="155"/>
      <c r="Z81" s="155"/>
      <c r="AA81" s="155"/>
      <c r="AB81" s="155"/>
      <c r="AC81" s="155"/>
      <c r="AD81" s="155"/>
      <c r="AE81" s="155"/>
      <c r="AF81" s="155"/>
      <c r="AG81" s="155"/>
      <c r="AH81" s="155"/>
      <c r="AI81" s="155"/>
      <c r="AJ81" s="155"/>
      <c r="AK81" s="155"/>
      <c r="AL81" s="155"/>
      <c r="AM81" s="155"/>
      <c r="AN81" s="155"/>
      <c r="AO81" s="155"/>
      <c r="AP81" s="155"/>
      <c r="AQ81" s="155"/>
      <c r="AR81" s="155"/>
      <c r="AS81" s="155"/>
      <c r="AT81" s="155"/>
      <c r="AU81" s="155"/>
      <c r="AV81" s="155"/>
      <c r="AW81" s="155"/>
      <c r="AX81" s="155"/>
    </row>
    <row r="82" spans="1:50" s="189" customFormat="1" x14ac:dyDescent="0.3">
      <c r="A82" s="59" t="s">
        <v>192</v>
      </c>
      <c r="B82" s="66">
        <v>0.93</v>
      </c>
      <c r="C82" s="66">
        <v>0.9</v>
      </c>
      <c r="D82" s="66">
        <v>0.93</v>
      </c>
      <c r="E82" s="66">
        <v>0.92</v>
      </c>
      <c r="F82" s="66">
        <v>0.92</v>
      </c>
      <c r="G82" s="66">
        <v>0.92</v>
      </c>
      <c r="H82" s="66">
        <v>0.92</v>
      </c>
      <c r="I82" s="66">
        <v>0.92</v>
      </c>
      <c r="J82" s="66">
        <v>0.92</v>
      </c>
      <c r="K82" s="66">
        <v>0.91</v>
      </c>
      <c r="L82" s="66">
        <v>0.93</v>
      </c>
      <c r="M82" s="66">
        <v>0.8</v>
      </c>
      <c r="N82" s="66">
        <v>0.79</v>
      </c>
      <c r="O82" s="66">
        <v>0.8</v>
      </c>
      <c r="P82" s="66">
        <v>0.8</v>
      </c>
      <c r="Q82" s="66">
        <v>0.8</v>
      </c>
      <c r="R82" s="66">
        <v>0.54</v>
      </c>
      <c r="S82" s="66">
        <v>0.52</v>
      </c>
      <c r="T82" s="66">
        <v>0.53</v>
      </c>
      <c r="U82" s="155"/>
      <c r="V82" s="155"/>
      <c r="W82" s="155"/>
      <c r="X82" s="155"/>
      <c r="Y82" s="155"/>
      <c r="Z82" s="155"/>
      <c r="AA82" s="155"/>
      <c r="AB82" s="155"/>
      <c r="AC82" s="155"/>
      <c r="AD82" s="155"/>
      <c r="AE82" s="155"/>
      <c r="AF82" s="155"/>
      <c r="AG82" s="155"/>
      <c r="AH82" s="155"/>
      <c r="AI82" s="155"/>
      <c r="AJ82" s="155"/>
      <c r="AK82" s="155"/>
      <c r="AL82" s="155"/>
      <c r="AM82" s="155"/>
      <c r="AN82" s="155"/>
      <c r="AO82" s="155"/>
      <c r="AP82" s="155"/>
      <c r="AQ82" s="155"/>
      <c r="AR82" s="155"/>
      <c r="AS82" s="155"/>
      <c r="AT82" s="155"/>
      <c r="AU82" s="155"/>
      <c r="AV82" s="155"/>
      <c r="AW82" s="155"/>
      <c r="AX82" s="155"/>
    </row>
    <row r="83" spans="1:50" s="189" customFormat="1" x14ac:dyDescent="0.3">
      <c r="A83" s="59" t="s">
        <v>193</v>
      </c>
      <c r="B83" s="66">
        <v>0.54</v>
      </c>
      <c r="C83" s="66">
        <v>0.7</v>
      </c>
      <c r="D83" s="66">
        <v>0.66</v>
      </c>
      <c r="E83" s="66">
        <v>0.77</v>
      </c>
      <c r="F83" s="66">
        <v>0.76</v>
      </c>
      <c r="G83" s="66">
        <v>0.73</v>
      </c>
      <c r="H83" s="66">
        <v>0.75</v>
      </c>
      <c r="I83" s="66">
        <v>0.52</v>
      </c>
      <c r="J83" s="66">
        <v>0.57999999999999996</v>
      </c>
      <c r="K83" s="66">
        <v>0.56000000000000005</v>
      </c>
      <c r="L83" s="66">
        <v>0.92</v>
      </c>
      <c r="M83" s="66">
        <v>0.95</v>
      </c>
      <c r="N83" s="66">
        <v>0.95</v>
      </c>
      <c r="O83" s="66">
        <v>0.96</v>
      </c>
      <c r="P83" s="66">
        <v>0.91</v>
      </c>
      <c r="Q83" s="66">
        <v>0.98</v>
      </c>
      <c r="R83" s="66">
        <v>0.89</v>
      </c>
      <c r="S83" s="66">
        <v>0.87</v>
      </c>
      <c r="T83" s="66">
        <v>0.87</v>
      </c>
      <c r="U83" s="155"/>
      <c r="V83" s="155"/>
      <c r="W83" s="155"/>
      <c r="X83" s="155"/>
      <c r="Y83" s="155"/>
      <c r="Z83" s="155"/>
      <c r="AA83" s="155"/>
      <c r="AB83" s="155"/>
      <c r="AC83" s="155"/>
      <c r="AD83" s="155"/>
      <c r="AE83" s="155"/>
      <c r="AF83" s="155"/>
      <c r="AG83" s="155"/>
      <c r="AH83" s="155"/>
      <c r="AI83" s="155"/>
      <c r="AJ83" s="155"/>
      <c r="AK83" s="155"/>
      <c r="AL83" s="155"/>
      <c r="AM83" s="155"/>
      <c r="AN83" s="155"/>
      <c r="AO83" s="155"/>
      <c r="AP83" s="155"/>
      <c r="AQ83" s="155"/>
      <c r="AR83" s="155"/>
      <c r="AS83" s="155"/>
      <c r="AT83" s="155"/>
      <c r="AU83" s="155"/>
      <c r="AV83" s="155"/>
      <c r="AW83" s="155"/>
      <c r="AX83" s="155"/>
    </row>
    <row r="84" spans="1:50" s="189" customFormat="1" x14ac:dyDescent="0.3">
      <c r="A84" s="59" t="s">
        <v>194</v>
      </c>
      <c r="B84" s="66">
        <v>0.68</v>
      </c>
      <c r="C84" s="66">
        <v>0.59</v>
      </c>
      <c r="D84" s="66">
        <v>0.54</v>
      </c>
      <c r="E84" s="66">
        <v>0.47</v>
      </c>
      <c r="F84" s="66">
        <v>0.54</v>
      </c>
      <c r="G84" s="66">
        <v>0.56000000000000005</v>
      </c>
      <c r="H84" s="66">
        <v>0.59</v>
      </c>
      <c r="I84" s="66">
        <v>0.5</v>
      </c>
      <c r="J84" s="66">
        <v>0.5</v>
      </c>
      <c r="K84" s="66">
        <v>0.36</v>
      </c>
      <c r="L84" s="66">
        <v>0.39</v>
      </c>
      <c r="M84" s="66">
        <v>0.49</v>
      </c>
      <c r="N84" s="66">
        <v>0.49</v>
      </c>
      <c r="O84" s="66">
        <v>0.46</v>
      </c>
      <c r="P84" s="66">
        <v>0.45</v>
      </c>
      <c r="Q84" s="66">
        <v>0.48</v>
      </c>
      <c r="R84" s="66">
        <v>0.45</v>
      </c>
      <c r="S84" s="66">
        <v>0.45</v>
      </c>
      <c r="T84" s="66">
        <v>0.5</v>
      </c>
      <c r="U84" s="155"/>
      <c r="V84" s="155"/>
      <c r="W84" s="155"/>
      <c r="X84" s="155"/>
      <c r="Y84" s="155"/>
      <c r="Z84" s="155"/>
      <c r="AA84" s="155"/>
      <c r="AB84" s="155"/>
      <c r="AC84" s="155"/>
      <c r="AD84" s="155"/>
      <c r="AE84" s="155"/>
      <c r="AF84" s="155"/>
      <c r="AG84" s="155"/>
      <c r="AH84" s="155"/>
      <c r="AI84" s="155"/>
      <c r="AJ84" s="155"/>
      <c r="AK84" s="155"/>
      <c r="AL84" s="155"/>
      <c r="AM84" s="155"/>
      <c r="AN84" s="155"/>
      <c r="AO84" s="155"/>
      <c r="AP84" s="155"/>
      <c r="AQ84" s="155"/>
      <c r="AR84" s="155"/>
      <c r="AS84" s="155"/>
      <c r="AT84" s="155"/>
      <c r="AU84" s="155"/>
      <c r="AV84" s="155"/>
      <c r="AW84" s="155"/>
      <c r="AX84" s="155"/>
    </row>
    <row r="85" spans="1:50" s="189" customFormat="1" x14ac:dyDescent="0.3">
      <c r="A85" s="59" t="s">
        <v>195</v>
      </c>
      <c r="B85" s="66">
        <v>1</v>
      </c>
      <c r="C85" s="66">
        <v>1</v>
      </c>
      <c r="D85" s="66">
        <v>1</v>
      </c>
      <c r="E85" s="66">
        <v>1</v>
      </c>
      <c r="F85" s="66">
        <v>1</v>
      </c>
      <c r="G85" s="66">
        <v>1</v>
      </c>
      <c r="H85" s="66">
        <v>1</v>
      </c>
      <c r="I85" s="66">
        <v>1</v>
      </c>
      <c r="J85" s="66">
        <v>1</v>
      </c>
      <c r="K85" s="66">
        <v>1</v>
      </c>
      <c r="L85" s="66">
        <v>1</v>
      </c>
      <c r="M85" s="66">
        <v>1</v>
      </c>
      <c r="N85" s="66">
        <v>1</v>
      </c>
      <c r="O85" s="66">
        <v>1</v>
      </c>
      <c r="P85" s="66">
        <v>1</v>
      </c>
      <c r="Q85" s="66">
        <v>1</v>
      </c>
      <c r="R85" s="66">
        <v>1</v>
      </c>
      <c r="S85" s="66">
        <v>1</v>
      </c>
      <c r="T85" s="66">
        <v>1</v>
      </c>
      <c r="U85" s="155"/>
      <c r="V85" s="155"/>
      <c r="W85" s="155"/>
      <c r="X85" s="155"/>
      <c r="Y85" s="155"/>
      <c r="Z85" s="155"/>
      <c r="AA85" s="155"/>
      <c r="AB85" s="155"/>
      <c r="AC85" s="155"/>
      <c r="AD85" s="155"/>
      <c r="AE85" s="155"/>
      <c r="AF85" s="155"/>
      <c r="AG85" s="155"/>
      <c r="AH85" s="155"/>
      <c r="AI85" s="155"/>
      <c r="AJ85" s="155"/>
      <c r="AK85" s="155"/>
      <c r="AL85" s="155"/>
      <c r="AM85" s="155"/>
      <c r="AN85" s="155"/>
      <c r="AO85" s="155"/>
      <c r="AP85" s="155"/>
      <c r="AQ85" s="155"/>
      <c r="AR85" s="155"/>
      <c r="AS85" s="155"/>
      <c r="AT85" s="155"/>
      <c r="AU85" s="155"/>
      <c r="AV85" s="155"/>
      <c r="AW85" s="155"/>
      <c r="AX85" s="155"/>
    </row>
    <row r="86" spans="1:50" s="189" customFormat="1" x14ac:dyDescent="0.3">
      <c r="A86" s="59" t="s">
        <v>196</v>
      </c>
      <c r="B86" s="66">
        <v>0.83</v>
      </c>
      <c r="C86" s="66">
        <v>0.84</v>
      </c>
      <c r="D86" s="66">
        <v>0.82</v>
      </c>
      <c r="E86" s="66">
        <v>0.83</v>
      </c>
      <c r="F86" s="66">
        <v>0.85</v>
      </c>
      <c r="G86" s="66">
        <v>0.87</v>
      </c>
      <c r="H86" s="66">
        <v>0.88</v>
      </c>
      <c r="I86" s="66">
        <v>0.81</v>
      </c>
      <c r="J86" s="66">
        <v>0.84</v>
      </c>
      <c r="K86" s="66">
        <v>0.8</v>
      </c>
      <c r="L86" s="66">
        <v>0.87</v>
      </c>
      <c r="M86" s="66">
        <v>0.91</v>
      </c>
      <c r="N86" s="66">
        <v>0.89</v>
      </c>
      <c r="O86" s="66">
        <v>0.88</v>
      </c>
      <c r="P86" s="66">
        <v>0.88</v>
      </c>
      <c r="Q86" s="66">
        <v>0.89</v>
      </c>
      <c r="R86" s="66">
        <v>0.78</v>
      </c>
      <c r="S86" s="66">
        <v>0.75</v>
      </c>
      <c r="T86" s="66">
        <v>0.8</v>
      </c>
      <c r="U86" s="155"/>
      <c r="V86" s="155"/>
      <c r="W86" s="155"/>
      <c r="X86" s="155"/>
      <c r="Y86" s="155"/>
      <c r="Z86" s="155"/>
      <c r="AA86" s="155"/>
      <c r="AB86" s="155"/>
      <c r="AC86" s="155"/>
      <c r="AD86" s="155"/>
      <c r="AE86" s="155"/>
      <c r="AF86" s="155"/>
      <c r="AG86" s="155"/>
      <c r="AH86" s="155"/>
      <c r="AI86" s="155"/>
      <c r="AJ86" s="155"/>
      <c r="AK86" s="155"/>
      <c r="AL86" s="155"/>
      <c r="AM86" s="155"/>
      <c r="AN86" s="155"/>
      <c r="AO86" s="155"/>
      <c r="AP86" s="155"/>
      <c r="AQ86" s="155"/>
      <c r="AR86" s="155"/>
      <c r="AS86" s="155"/>
      <c r="AT86" s="155"/>
      <c r="AU86" s="155"/>
      <c r="AV86" s="155"/>
      <c r="AW86" s="155"/>
      <c r="AX86" s="155"/>
    </row>
    <row r="87" spans="1:50" s="190" customFormat="1" x14ac:dyDescent="0.3">
      <c r="A87" s="59" t="s">
        <v>85</v>
      </c>
      <c r="B87" s="64"/>
      <c r="C87" s="64"/>
      <c r="D87" s="64"/>
      <c r="E87" s="64"/>
      <c r="F87" s="64"/>
      <c r="G87" s="64"/>
      <c r="H87" s="64">
        <v>9.0999999999999998E-2</v>
      </c>
      <c r="I87" s="64">
        <v>0.10299999999999999</v>
      </c>
      <c r="J87" s="64">
        <v>0.11600000000000001</v>
      </c>
      <c r="K87" s="64">
        <v>9.2999999999999999E-2</v>
      </c>
      <c r="L87" s="64">
        <v>0.108</v>
      </c>
      <c r="M87" s="64"/>
      <c r="N87" s="64"/>
      <c r="O87" s="64"/>
      <c r="P87" s="64"/>
      <c r="Q87" s="64"/>
      <c r="R87" s="64"/>
      <c r="S87" s="64"/>
      <c r="T87" s="64"/>
      <c r="U87" s="65"/>
      <c r="V87" s="65"/>
      <c r="W87" s="65"/>
      <c r="X87" s="65"/>
      <c r="Y87" s="65"/>
      <c r="Z87" s="65"/>
      <c r="AA87" s="65"/>
      <c r="AB87" s="65"/>
      <c r="AC87" s="65"/>
      <c r="AD87" s="65"/>
      <c r="AE87" s="65"/>
      <c r="AF87" s="65"/>
      <c r="AG87" s="65"/>
      <c r="AH87" s="65"/>
      <c r="AI87" s="65"/>
      <c r="AJ87" s="65"/>
      <c r="AK87" s="65"/>
      <c r="AL87" s="65"/>
      <c r="AM87" s="65"/>
      <c r="AN87" s="65"/>
      <c r="AO87" s="65"/>
      <c r="AP87" s="65"/>
      <c r="AQ87" s="65"/>
      <c r="AR87" s="65"/>
      <c r="AS87" s="65"/>
      <c r="AT87" s="65"/>
      <c r="AU87" s="65"/>
      <c r="AV87" s="65"/>
      <c r="AW87" s="65"/>
      <c r="AX87" s="65"/>
    </row>
    <row r="88" spans="1:50" x14ac:dyDescent="0.3">
      <c r="A88" s="156" t="s">
        <v>67</v>
      </c>
      <c r="B88" s="157" t="s">
        <v>197</v>
      </c>
    </row>
    <row r="89" spans="1:50" x14ac:dyDescent="0.3">
      <c r="A89" s="61" t="s">
        <v>1207</v>
      </c>
      <c r="B89" s="60"/>
      <c r="C89" s="51"/>
      <c r="D89" s="51"/>
      <c r="E89" s="51"/>
      <c r="F89" s="51"/>
      <c r="G89" s="51"/>
      <c r="H89" s="51"/>
      <c r="I89" s="51"/>
      <c r="J89" s="51"/>
      <c r="K89" s="51"/>
      <c r="L89" s="51"/>
      <c r="M89" s="51"/>
      <c r="N89" s="51"/>
      <c r="O89" s="51"/>
      <c r="P89" s="51"/>
      <c r="Q89" s="51"/>
      <c r="R89" s="51"/>
      <c r="S89" s="51"/>
      <c r="T89" s="51"/>
      <c r="U89" s="51"/>
      <c r="V89" s="51"/>
      <c r="W89" s="51"/>
      <c r="X89" s="51"/>
      <c r="Y89" s="51"/>
      <c r="Z89" s="51"/>
      <c r="AA89" s="51"/>
      <c r="AB89" s="51"/>
      <c r="AC89" s="51"/>
      <c r="AD89" s="51"/>
      <c r="AE89" s="51"/>
      <c r="AF89" s="51"/>
      <c r="AG89" s="51"/>
      <c r="AH89" s="51"/>
      <c r="AI89" s="51"/>
      <c r="AJ89" s="51"/>
      <c r="AK89" s="51"/>
      <c r="AL89" s="51"/>
      <c r="AM89" s="51"/>
      <c r="AN89" s="51"/>
      <c r="AO89" s="51"/>
      <c r="AP89" s="51"/>
      <c r="AQ89" s="51"/>
      <c r="AR89" s="51"/>
      <c r="AS89" s="51"/>
      <c r="AT89" s="51"/>
      <c r="AU89" s="51"/>
      <c r="AV89" s="51"/>
      <c r="AW89" s="51"/>
      <c r="AX89" s="51"/>
    </row>
    <row r="91" spans="1:50" s="138" customFormat="1" ht="18" x14ac:dyDescent="0.35">
      <c r="A91" s="117" t="s">
        <v>1096</v>
      </c>
      <c r="B91" s="117" t="s">
        <v>198</v>
      </c>
      <c r="C91" s="117"/>
      <c r="D91" s="117"/>
      <c r="E91" s="117"/>
      <c r="F91" s="117"/>
      <c r="G91" s="117"/>
      <c r="H91" s="117"/>
      <c r="I91" s="117"/>
      <c r="J91" s="117"/>
      <c r="K91" s="117"/>
      <c r="L91" s="117"/>
      <c r="M91" s="117"/>
      <c r="N91" s="117"/>
      <c r="O91" s="117"/>
      <c r="P91" s="117"/>
      <c r="Q91" s="117"/>
      <c r="R91" s="117"/>
      <c r="S91" s="117"/>
      <c r="T91" s="117"/>
      <c r="U91" s="117"/>
      <c r="V91" s="117"/>
      <c r="W91" s="117"/>
      <c r="X91" s="117"/>
      <c r="Y91" s="117"/>
      <c r="Z91" s="117"/>
      <c r="AA91" s="117"/>
      <c r="AB91" s="117"/>
      <c r="AC91" s="117"/>
      <c r="AD91" s="117"/>
      <c r="AE91" s="117"/>
      <c r="AF91" s="117"/>
      <c r="AG91" s="117"/>
      <c r="AH91" s="117"/>
      <c r="AI91" s="117"/>
      <c r="AJ91" s="117"/>
      <c r="AK91" s="117"/>
      <c r="AL91" s="117"/>
      <c r="AM91" s="117"/>
      <c r="AN91" s="117"/>
      <c r="AO91" s="117"/>
      <c r="AP91" s="117"/>
      <c r="AQ91" s="117"/>
      <c r="AR91" s="117"/>
      <c r="AS91" s="117"/>
      <c r="AT91" s="117"/>
      <c r="AU91" s="117"/>
      <c r="AV91" s="117"/>
      <c r="AW91" s="117"/>
      <c r="AX91" s="117"/>
    </row>
    <row r="92" spans="1:50" s="144" customFormat="1" x14ac:dyDescent="0.3">
      <c r="A92" s="52" t="s">
        <v>61</v>
      </c>
      <c r="B92" s="158">
        <v>1995</v>
      </c>
      <c r="C92" s="158">
        <v>1996</v>
      </c>
      <c r="D92" s="158">
        <v>1997</v>
      </c>
      <c r="E92" s="158">
        <v>1998</v>
      </c>
      <c r="F92" s="158">
        <v>1999</v>
      </c>
      <c r="G92" s="158">
        <v>2000</v>
      </c>
      <c r="H92" s="158">
        <v>2001</v>
      </c>
      <c r="I92" s="158">
        <v>2002</v>
      </c>
      <c r="J92" s="158">
        <v>2003</v>
      </c>
      <c r="K92" s="158">
        <v>2004</v>
      </c>
      <c r="L92" s="158">
        <v>2005</v>
      </c>
      <c r="M92" s="158">
        <v>2006</v>
      </c>
      <c r="N92" s="158">
        <v>2007</v>
      </c>
      <c r="O92" s="158">
        <v>2008</v>
      </c>
      <c r="P92" s="158">
        <v>2009</v>
      </c>
      <c r="Q92" s="158">
        <v>2010</v>
      </c>
      <c r="R92" s="158">
        <v>2011</v>
      </c>
      <c r="S92" s="158">
        <v>2012</v>
      </c>
      <c r="T92" s="158">
        <v>2013</v>
      </c>
      <c r="U92" s="158">
        <v>2014</v>
      </c>
      <c r="V92" s="158">
        <v>2015</v>
      </c>
      <c r="W92" s="158">
        <v>2016</v>
      </c>
      <c r="X92" s="127">
        <v>2017</v>
      </c>
      <c r="Y92" s="127">
        <v>2018</v>
      </c>
      <c r="Z92" s="127">
        <v>2019</v>
      </c>
      <c r="AA92" s="129"/>
      <c r="AB92" s="129"/>
      <c r="AC92" s="129"/>
      <c r="AD92" s="129"/>
      <c r="AE92" s="129"/>
      <c r="AF92" s="129"/>
      <c r="AG92" s="129"/>
      <c r="AH92" s="129"/>
      <c r="AI92" s="129"/>
      <c r="AJ92" s="129"/>
      <c r="AK92" s="129"/>
      <c r="AL92" s="129"/>
      <c r="AM92" s="129"/>
      <c r="AN92" s="129"/>
      <c r="AO92" s="129"/>
      <c r="AP92" s="129"/>
      <c r="AQ92" s="129"/>
      <c r="AR92" s="129"/>
      <c r="AS92" s="129"/>
      <c r="AT92" s="129"/>
      <c r="AU92" s="129"/>
      <c r="AV92" s="129"/>
      <c r="AW92" s="129"/>
      <c r="AX92" s="129"/>
    </row>
    <row r="93" spans="1:50" s="144" customFormat="1" x14ac:dyDescent="0.3">
      <c r="A93" s="52" t="s">
        <v>199</v>
      </c>
      <c r="B93" s="67">
        <v>8.4</v>
      </c>
      <c r="C93" s="67">
        <v>8.5</v>
      </c>
      <c r="D93" s="67">
        <v>8.6999999999999993</v>
      </c>
      <c r="E93" s="67">
        <v>8.9</v>
      </c>
      <c r="F93" s="67">
        <v>9.1</v>
      </c>
      <c r="G93" s="67">
        <v>9.1</v>
      </c>
      <c r="H93" s="67">
        <v>9.3000000000000007</v>
      </c>
      <c r="I93" s="67">
        <v>9.8000000000000007</v>
      </c>
      <c r="J93" s="67">
        <v>9.9</v>
      </c>
      <c r="K93" s="67">
        <v>10</v>
      </c>
      <c r="L93" s="67">
        <v>10.1</v>
      </c>
      <c r="M93" s="67">
        <v>10.199999999999999</v>
      </c>
      <c r="N93" s="67">
        <v>10.3</v>
      </c>
      <c r="O93" s="67">
        <v>10.4</v>
      </c>
      <c r="P93" s="67">
        <v>10.5</v>
      </c>
      <c r="Q93" s="67">
        <v>10.8</v>
      </c>
      <c r="R93" s="67">
        <v>11.1</v>
      </c>
      <c r="S93" s="67">
        <v>11.3</v>
      </c>
      <c r="T93" s="67">
        <v>11.4</v>
      </c>
      <c r="U93" s="67">
        <v>11.4</v>
      </c>
      <c r="V93" s="67">
        <v>11.5</v>
      </c>
      <c r="W93" s="67">
        <v>11.6</v>
      </c>
      <c r="X93" s="68" t="s">
        <v>200</v>
      </c>
      <c r="Y93" s="68" t="s">
        <v>200</v>
      </c>
      <c r="Z93" s="68" t="s">
        <v>200</v>
      </c>
      <c r="AA93" s="129"/>
      <c r="AB93" s="129"/>
      <c r="AC93" s="129"/>
      <c r="AD93" s="129"/>
      <c r="AE93" s="129"/>
      <c r="AF93" s="129"/>
      <c r="AG93" s="129"/>
      <c r="AH93" s="129"/>
      <c r="AI93" s="129"/>
      <c r="AJ93" s="129"/>
      <c r="AK93" s="129"/>
      <c r="AL93" s="129"/>
      <c r="AM93" s="129"/>
      <c r="AN93" s="129"/>
      <c r="AO93" s="129"/>
      <c r="AP93" s="129"/>
      <c r="AQ93" s="129"/>
      <c r="AR93" s="129"/>
      <c r="AS93" s="129"/>
      <c r="AT93" s="129"/>
      <c r="AU93" s="129"/>
      <c r="AV93" s="129"/>
      <c r="AW93" s="129"/>
      <c r="AX93" s="129"/>
    </row>
    <row r="94" spans="1:50" s="144" customFormat="1" x14ac:dyDescent="0.3">
      <c r="A94" s="52" t="s">
        <v>201</v>
      </c>
      <c r="B94" s="67">
        <v>8.3000000000000007</v>
      </c>
      <c r="C94" s="67">
        <v>8.3000000000000007</v>
      </c>
      <c r="D94" s="67">
        <v>8.5</v>
      </c>
      <c r="E94" s="67">
        <v>8.5</v>
      </c>
      <c r="F94" s="67">
        <v>8.5</v>
      </c>
      <c r="G94" s="67">
        <v>8.4</v>
      </c>
      <c r="H94" s="67">
        <v>8.4</v>
      </c>
      <c r="I94" s="67">
        <v>9.4</v>
      </c>
      <c r="J94" s="67">
        <v>9.5</v>
      </c>
      <c r="K94" s="67">
        <v>9.5</v>
      </c>
      <c r="L94" s="67">
        <v>9.5</v>
      </c>
      <c r="M94" s="67">
        <v>9.5</v>
      </c>
      <c r="N94" s="67">
        <v>9.6</v>
      </c>
      <c r="O94" s="67">
        <v>9.8000000000000007</v>
      </c>
      <c r="P94" s="67">
        <v>10.1</v>
      </c>
      <c r="Q94" s="67">
        <v>10.5</v>
      </c>
      <c r="R94" s="67">
        <v>10.8</v>
      </c>
      <c r="S94" s="67">
        <v>11.1</v>
      </c>
      <c r="T94" s="67">
        <v>11.3</v>
      </c>
      <c r="U94" s="67">
        <v>11.4</v>
      </c>
      <c r="V94" s="67">
        <v>11.5</v>
      </c>
      <c r="W94" s="67">
        <v>11.6</v>
      </c>
      <c r="X94" s="68" t="s">
        <v>200</v>
      </c>
      <c r="Y94" s="68" t="s">
        <v>200</v>
      </c>
      <c r="Z94" s="68" t="s">
        <v>200</v>
      </c>
      <c r="AA94" s="129"/>
      <c r="AB94" s="129"/>
      <c r="AC94" s="129"/>
      <c r="AD94" s="129"/>
      <c r="AE94" s="129"/>
      <c r="AF94" s="129"/>
      <c r="AG94" s="129"/>
      <c r="AH94" s="129"/>
      <c r="AI94" s="129"/>
      <c r="AJ94" s="129"/>
      <c r="AK94" s="129"/>
      <c r="AL94" s="129"/>
      <c r="AM94" s="129"/>
      <c r="AN94" s="129"/>
      <c r="AO94" s="129"/>
      <c r="AP94" s="129"/>
      <c r="AQ94" s="129"/>
      <c r="AR94" s="129"/>
      <c r="AS94" s="129"/>
      <c r="AT94" s="129"/>
      <c r="AU94" s="129"/>
      <c r="AV94" s="129"/>
      <c r="AW94" s="129"/>
      <c r="AX94" s="129"/>
    </row>
    <row r="95" spans="1:50" s="144" customFormat="1" x14ac:dyDescent="0.3">
      <c r="A95" s="52" t="s">
        <v>202</v>
      </c>
      <c r="B95" s="67">
        <v>8.4</v>
      </c>
      <c r="C95" s="67">
        <v>8.5</v>
      </c>
      <c r="D95" s="67">
        <v>8.6</v>
      </c>
      <c r="E95" s="67">
        <v>8.8000000000000007</v>
      </c>
      <c r="F95" s="67">
        <v>8.8000000000000007</v>
      </c>
      <c r="G95" s="67">
        <v>8.9</v>
      </c>
      <c r="H95" s="67">
        <v>8.9</v>
      </c>
      <c r="I95" s="67">
        <v>9.6</v>
      </c>
      <c r="J95" s="67">
        <v>9.6999999999999993</v>
      </c>
      <c r="K95" s="67">
        <v>9.8000000000000007</v>
      </c>
      <c r="L95" s="67">
        <v>9.8000000000000007</v>
      </c>
      <c r="M95" s="67">
        <v>9.9</v>
      </c>
      <c r="N95" s="67">
        <v>10</v>
      </c>
      <c r="O95" s="67">
        <v>10.1</v>
      </c>
      <c r="P95" s="67">
        <v>10.3</v>
      </c>
      <c r="Q95" s="67">
        <v>10.6</v>
      </c>
      <c r="R95" s="67">
        <v>10.9</v>
      </c>
      <c r="S95" s="67">
        <v>11.2</v>
      </c>
      <c r="T95" s="67">
        <v>11.4</v>
      </c>
      <c r="U95" s="67">
        <v>11.4</v>
      </c>
      <c r="V95" s="67">
        <v>11.5</v>
      </c>
      <c r="W95" s="67">
        <v>11.6</v>
      </c>
      <c r="X95" s="68">
        <v>11.7</v>
      </c>
      <c r="Y95" s="68">
        <v>11.7</v>
      </c>
      <c r="Z95" s="68">
        <v>11.8</v>
      </c>
      <c r="AA95" s="129"/>
      <c r="AB95" s="129"/>
      <c r="AC95" s="129"/>
      <c r="AD95" s="129"/>
      <c r="AE95" s="129"/>
      <c r="AF95" s="129"/>
      <c r="AG95" s="129"/>
      <c r="AH95" s="129"/>
      <c r="AI95" s="129"/>
      <c r="AJ95" s="129"/>
      <c r="AK95" s="129"/>
      <c r="AL95" s="129"/>
      <c r="AM95" s="129"/>
      <c r="AN95" s="129"/>
      <c r="AO95" s="129"/>
      <c r="AP95" s="129"/>
      <c r="AQ95" s="129"/>
      <c r="AR95" s="129"/>
      <c r="AS95" s="129"/>
      <c r="AT95" s="129"/>
      <c r="AU95" s="129"/>
      <c r="AV95" s="129"/>
      <c r="AW95" s="129"/>
      <c r="AX95" s="129"/>
    </row>
    <row r="96" spans="1:50" x14ac:dyDescent="0.3">
      <c r="A96" s="52" t="s">
        <v>67</v>
      </c>
      <c r="B96" s="60" t="s">
        <v>203</v>
      </c>
      <c r="C96" s="51"/>
      <c r="D96" s="51"/>
      <c r="E96" s="51"/>
      <c r="F96" s="51"/>
      <c r="G96" s="51"/>
      <c r="H96" s="51"/>
      <c r="I96" s="51"/>
      <c r="J96" s="51"/>
      <c r="K96" s="51"/>
      <c r="L96" s="51"/>
      <c r="M96" s="51"/>
      <c r="N96" s="51"/>
      <c r="O96" s="51"/>
      <c r="P96" s="51"/>
      <c r="Q96" s="51"/>
      <c r="R96" s="51"/>
      <c r="S96" s="51"/>
      <c r="T96" s="51"/>
      <c r="U96" s="51"/>
      <c r="V96" s="51"/>
      <c r="W96" s="51"/>
      <c r="X96" s="51"/>
      <c r="Y96" s="51"/>
      <c r="Z96" s="51"/>
      <c r="AA96" s="51"/>
      <c r="AB96" s="51"/>
      <c r="AC96" s="51"/>
      <c r="AD96" s="51"/>
      <c r="AE96" s="51"/>
      <c r="AF96" s="51"/>
      <c r="AG96" s="51"/>
      <c r="AH96" s="51"/>
      <c r="AI96" s="51"/>
      <c r="AJ96" s="51"/>
      <c r="AK96" s="51"/>
      <c r="AL96" s="51"/>
      <c r="AM96" s="51"/>
      <c r="AN96" s="51"/>
      <c r="AO96" s="51"/>
      <c r="AP96" s="51"/>
      <c r="AQ96" s="51"/>
      <c r="AR96" s="51"/>
      <c r="AS96" s="51"/>
      <c r="AT96" s="51"/>
      <c r="AU96" s="51"/>
      <c r="AV96" s="51"/>
      <c r="AW96" s="51"/>
      <c r="AX96" s="51"/>
    </row>
    <row r="97" spans="1:50" x14ac:dyDescent="0.3">
      <c r="A97" s="52"/>
      <c r="B97" s="60"/>
      <c r="C97" s="51"/>
      <c r="D97" s="51"/>
      <c r="E97" s="51"/>
      <c r="F97" s="51"/>
      <c r="G97" s="51"/>
      <c r="H97" s="51"/>
      <c r="I97" s="51"/>
      <c r="J97" s="51"/>
      <c r="K97" s="51"/>
      <c r="L97" s="51"/>
      <c r="M97" s="51"/>
      <c r="N97" s="51"/>
      <c r="O97" s="51"/>
      <c r="P97" s="51"/>
      <c r="Q97" s="51"/>
      <c r="R97" s="51"/>
      <c r="S97" s="51"/>
      <c r="T97" s="51"/>
      <c r="U97" s="51"/>
      <c r="V97" s="51"/>
      <c r="W97" s="51"/>
      <c r="X97" s="51"/>
      <c r="Y97" s="51"/>
      <c r="Z97" s="51"/>
      <c r="AA97" s="51"/>
      <c r="AB97" s="51"/>
      <c r="AC97" s="51"/>
      <c r="AD97" s="51"/>
      <c r="AE97" s="51"/>
      <c r="AF97" s="51"/>
      <c r="AG97" s="51"/>
      <c r="AH97" s="51"/>
      <c r="AI97" s="51"/>
      <c r="AJ97" s="51"/>
      <c r="AK97" s="51"/>
      <c r="AL97" s="51"/>
      <c r="AM97" s="51"/>
      <c r="AN97" s="51"/>
      <c r="AO97" s="51"/>
      <c r="AP97" s="51"/>
      <c r="AQ97" s="51"/>
      <c r="AR97" s="51"/>
      <c r="AS97" s="51"/>
      <c r="AT97" s="51"/>
      <c r="AU97" s="51"/>
      <c r="AV97" s="51"/>
      <c r="AW97" s="51"/>
      <c r="AX97" s="51"/>
    </row>
    <row r="98" spans="1:50" s="138" customFormat="1" ht="18" x14ac:dyDescent="0.35">
      <c r="A98" s="117" t="s">
        <v>1097</v>
      </c>
      <c r="B98" s="117" t="s">
        <v>204</v>
      </c>
      <c r="C98" s="117"/>
      <c r="D98" s="117"/>
      <c r="E98" s="117"/>
      <c r="F98" s="117"/>
      <c r="G98" s="117"/>
      <c r="H98" s="117"/>
      <c r="I98" s="117"/>
      <c r="J98" s="117"/>
      <c r="K98" s="117"/>
      <c r="L98" s="117"/>
      <c r="M98" s="117"/>
      <c r="N98" s="117"/>
      <c r="O98" s="117"/>
      <c r="P98" s="117"/>
      <c r="Q98" s="117"/>
      <c r="R98" s="117"/>
      <c r="S98" s="117"/>
      <c r="T98" s="117"/>
      <c r="U98" s="117"/>
      <c r="V98" s="117"/>
      <c r="W98" s="117"/>
      <c r="X98" s="117"/>
      <c r="Y98" s="117"/>
      <c r="Z98" s="117"/>
      <c r="AA98" s="117"/>
      <c r="AB98" s="117"/>
      <c r="AC98" s="117"/>
      <c r="AD98" s="117"/>
      <c r="AE98" s="117"/>
      <c r="AF98" s="117"/>
      <c r="AG98" s="117"/>
      <c r="AH98" s="117"/>
      <c r="AI98" s="117"/>
      <c r="AJ98" s="117"/>
      <c r="AK98" s="117"/>
      <c r="AL98" s="117"/>
      <c r="AM98" s="117"/>
      <c r="AN98" s="117"/>
      <c r="AO98" s="117"/>
      <c r="AP98" s="117"/>
      <c r="AQ98" s="117"/>
      <c r="AR98" s="117"/>
      <c r="AS98" s="117"/>
      <c r="AT98" s="117"/>
      <c r="AU98" s="117"/>
      <c r="AV98" s="117"/>
      <c r="AW98" s="117"/>
      <c r="AX98" s="117"/>
    </row>
    <row r="99" spans="1:50" x14ac:dyDescent="0.3">
      <c r="A99" s="249" t="s">
        <v>1055</v>
      </c>
      <c r="B99" s="249" t="s">
        <v>1085</v>
      </c>
      <c r="C99" s="249" t="s">
        <v>1086</v>
      </c>
      <c r="D99" s="249" t="s">
        <v>1098</v>
      </c>
    </row>
    <row r="100" spans="1:50" x14ac:dyDescent="0.3">
      <c r="A100" s="264" t="s">
        <v>27</v>
      </c>
      <c r="B100" s="264" t="s">
        <v>205</v>
      </c>
      <c r="C100" s="264" t="s">
        <v>206</v>
      </c>
      <c r="D100" s="264" t="s">
        <v>207</v>
      </c>
    </row>
    <row r="101" spans="1:50" x14ac:dyDescent="0.3">
      <c r="A101" s="4" t="s">
        <v>208</v>
      </c>
      <c r="B101" s="4">
        <v>8.31</v>
      </c>
      <c r="C101" s="4" t="s">
        <v>209</v>
      </c>
      <c r="D101" s="4">
        <f t="shared" ref="D101:D110" si="25">B101*kg_to_MT</f>
        <v>8.3100000000000014E-3</v>
      </c>
    </row>
    <row r="102" spans="1:50" x14ac:dyDescent="0.3">
      <c r="A102" s="228" t="s">
        <v>210</v>
      </c>
      <c r="B102" s="228">
        <v>9.4499999999999993</v>
      </c>
      <c r="C102" s="228" t="s">
        <v>209</v>
      </c>
      <c r="D102" s="228">
        <f t="shared" si="25"/>
        <v>9.4500000000000001E-3</v>
      </c>
    </row>
    <row r="103" spans="1:50" x14ac:dyDescent="0.3">
      <c r="A103" s="4" t="s">
        <v>211</v>
      </c>
      <c r="B103" s="4">
        <v>5.4440000000000002E-2</v>
      </c>
      <c r="C103" s="4" t="s">
        <v>29</v>
      </c>
      <c r="D103" s="4">
        <f t="shared" si="25"/>
        <v>5.4440000000000001E-5</v>
      </c>
    </row>
    <row r="104" spans="1:50" x14ac:dyDescent="0.3">
      <c r="A104" s="228" t="s">
        <v>212</v>
      </c>
      <c r="B104" s="228">
        <v>10.210000000000001</v>
      </c>
      <c r="C104" s="228" t="s">
        <v>209</v>
      </c>
      <c r="D104" s="228">
        <f t="shared" si="25"/>
        <v>1.021E-2</v>
      </c>
    </row>
    <row r="105" spans="1:50" x14ac:dyDescent="0.3">
      <c r="A105" s="4" t="s">
        <v>213</v>
      </c>
      <c r="B105" s="4">
        <v>5.75</v>
      </c>
      <c r="C105" s="4" t="s">
        <v>209</v>
      </c>
      <c r="D105" s="4">
        <f t="shared" si="25"/>
        <v>5.7499999999999999E-3</v>
      </c>
    </row>
    <row r="106" spans="1:50" x14ac:dyDescent="0.3">
      <c r="A106" s="228" t="s">
        <v>214</v>
      </c>
      <c r="B106" s="228">
        <v>9.75</v>
      </c>
      <c r="C106" s="228" t="s">
        <v>209</v>
      </c>
      <c r="D106" s="228">
        <f t="shared" si="25"/>
        <v>9.75E-3</v>
      </c>
    </row>
    <row r="107" spans="1:50" x14ac:dyDescent="0.3">
      <c r="A107" s="4" t="s">
        <v>215</v>
      </c>
      <c r="B107" s="4">
        <v>4.5</v>
      </c>
      <c r="C107" s="4" t="s">
        <v>209</v>
      </c>
      <c r="D107" s="4">
        <f t="shared" si="25"/>
        <v>4.5000000000000005E-3</v>
      </c>
    </row>
    <row r="108" spans="1:50" x14ac:dyDescent="0.3">
      <c r="A108" s="228" t="s">
        <v>216</v>
      </c>
      <c r="B108" s="228">
        <v>5.68</v>
      </c>
      <c r="C108" s="228" t="s">
        <v>209</v>
      </c>
      <c r="D108" s="228">
        <f t="shared" si="25"/>
        <v>5.6800000000000002E-3</v>
      </c>
    </row>
    <row r="109" spans="1:50" x14ac:dyDescent="0.3">
      <c r="A109" s="4" t="s">
        <v>217</v>
      </c>
      <c r="B109" s="4">
        <v>8.7799999999999994</v>
      </c>
      <c r="C109" s="4" t="s">
        <v>209</v>
      </c>
      <c r="D109" s="4">
        <f t="shared" si="25"/>
        <v>8.7799999999999996E-3</v>
      </c>
    </row>
    <row r="110" spans="1:50" x14ac:dyDescent="0.3">
      <c r="A110" s="230" t="s">
        <v>218</v>
      </c>
      <c r="B110" s="230">
        <v>11.27</v>
      </c>
      <c r="C110" s="230" t="s">
        <v>209</v>
      </c>
      <c r="D110" s="230">
        <f t="shared" si="25"/>
        <v>1.1270000000000001E-2</v>
      </c>
    </row>
    <row r="111" spans="1:50" x14ac:dyDescent="0.3">
      <c r="A111" s="159"/>
    </row>
    <row r="112" spans="1:50" s="138" customFormat="1" ht="18" x14ac:dyDescent="0.35">
      <c r="A112" s="117" t="s">
        <v>1099</v>
      </c>
      <c r="B112" s="117" t="s">
        <v>219</v>
      </c>
      <c r="C112" s="117"/>
      <c r="D112" s="117"/>
      <c r="E112" s="117"/>
      <c r="F112" s="117"/>
      <c r="G112" s="117"/>
      <c r="H112" s="117"/>
      <c r="I112" s="117"/>
      <c r="J112" s="117"/>
      <c r="K112" s="117"/>
      <c r="L112" s="117"/>
      <c r="M112" s="117"/>
      <c r="N112" s="117"/>
      <c r="O112" s="117"/>
      <c r="P112" s="117"/>
      <c r="Q112" s="117"/>
      <c r="R112" s="117"/>
      <c r="S112" s="117"/>
      <c r="T112" s="117"/>
      <c r="U112" s="117"/>
      <c r="V112" s="117"/>
      <c r="W112" s="117"/>
      <c r="X112" s="117"/>
      <c r="Y112" s="117"/>
      <c r="Z112" s="117"/>
      <c r="AA112" s="117"/>
      <c r="AB112" s="117"/>
      <c r="AC112" s="117"/>
      <c r="AD112" s="117"/>
      <c r="AE112" s="117"/>
      <c r="AF112" s="117"/>
      <c r="AG112" s="117"/>
      <c r="AH112" s="117"/>
      <c r="AI112" s="117"/>
      <c r="AJ112" s="117"/>
      <c r="AK112" s="117"/>
      <c r="AL112" s="117"/>
      <c r="AM112" s="117"/>
      <c r="AN112" s="117"/>
      <c r="AO112" s="117"/>
      <c r="AP112" s="117"/>
      <c r="AQ112" s="117"/>
      <c r="AR112" s="117"/>
      <c r="AS112" s="117"/>
      <c r="AT112" s="117"/>
      <c r="AU112" s="117"/>
      <c r="AV112" s="117"/>
      <c r="AW112" s="117"/>
      <c r="AX112" s="117"/>
    </row>
    <row r="113" spans="1:50" x14ac:dyDescent="0.3">
      <c r="A113" s="52" t="s">
        <v>61</v>
      </c>
      <c r="B113" s="52" t="s">
        <v>170</v>
      </c>
      <c r="C113" s="52">
        <v>1973</v>
      </c>
      <c r="D113" s="52">
        <f>C113+1</f>
        <v>1974</v>
      </c>
      <c r="E113" s="52">
        <f t="shared" ref="E113:AX113" si="26">D113+1</f>
        <v>1975</v>
      </c>
      <c r="F113" s="52">
        <f t="shared" si="26"/>
        <v>1976</v>
      </c>
      <c r="G113" s="52">
        <f t="shared" si="26"/>
        <v>1977</v>
      </c>
      <c r="H113" s="52">
        <f t="shared" si="26"/>
        <v>1978</v>
      </c>
      <c r="I113" s="52">
        <f t="shared" si="26"/>
        <v>1979</v>
      </c>
      <c r="J113" s="52">
        <f t="shared" si="26"/>
        <v>1980</v>
      </c>
      <c r="K113" s="52">
        <f t="shared" si="26"/>
        <v>1981</v>
      </c>
      <c r="L113" s="52">
        <f t="shared" si="26"/>
        <v>1982</v>
      </c>
      <c r="M113" s="52">
        <f t="shared" si="26"/>
        <v>1983</v>
      </c>
      <c r="N113" s="52">
        <f t="shared" si="26"/>
        <v>1984</v>
      </c>
      <c r="O113" s="52">
        <f t="shared" si="26"/>
        <v>1985</v>
      </c>
      <c r="P113" s="52">
        <f t="shared" si="26"/>
        <v>1986</v>
      </c>
      <c r="Q113" s="52">
        <f t="shared" si="26"/>
        <v>1987</v>
      </c>
      <c r="R113" s="52">
        <f t="shared" si="26"/>
        <v>1988</v>
      </c>
      <c r="S113" s="52">
        <f t="shared" si="26"/>
        <v>1989</v>
      </c>
      <c r="T113" s="52">
        <f t="shared" si="26"/>
        <v>1990</v>
      </c>
      <c r="U113" s="52">
        <f t="shared" si="26"/>
        <v>1991</v>
      </c>
      <c r="V113" s="52">
        <f t="shared" si="26"/>
        <v>1992</v>
      </c>
      <c r="W113" s="52">
        <f t="shared" si="26"/>
        <v>1993</v>
      </c>
      <c r="X113" s="52">
        <f t="shared" si="26"/>
        <v>1994</v>
      </c>
      <c r="Y113" s="52">
        <f t="shared" si="26"/>
        <v>1995</v>
      </c>
      <c r="Z113" s="52">
        <f t="shared" si="26"/>
        <v>1996</v>
      </c>
      <c r="AA113" s="52">
        <f t="shared" si="26"/>
        <v>1997</v>
      </c>
      <c r="AB113" s="52">
        <f t="shared" si="26"/>
        <v>1998</v>
      </c>
      <c r="AC113" s="52">
        <f t="shared" si="26"/>
        <v>1999</v>
      </c>
      <c r="AD113" s="52">
        <f t="shared" si="26"/>
        <v>2000</v>
      </c>
      <c r="AE113" s="52">
        <f t="shared" si="26"/>
        <v>2001</v>
      </c>
      <c r="AF113" s="52">
        <f t="shared" si="26"/>
        <v>2002</v>
      </c>
      <c r="AG113" s="52">
        <f t="shared" si="26"/>
        <v>2003</v>
      </c>
      <c r="AH113" s="52">
        <f t="shared" si="26"/>
        <v>2004</v>
      </c>
      <c r="AI113" s="52">
        <f t="shared" si="26"/>
        <v>2005</v>
      </c>
      <c r="AJ113" s="52">
        <f t="shared" si="26"/>
        <v>2006</v>
      </c>
      <c r="AK113" s="52">
        <f t="shared" si="26"/>
        <v>2007</v>
      </c>
      <c r="AL113" s="52">
        <f t="shared" si="26"/>
        <v>2008</v>
      </c>
      <c r="AM113" s="52">
        <f t="shared" si="26"/>
        <v>2009</v>
      </c>
      <c r="AN113" s="52">
        <f t="shared" si="26"/>
        <v>2010</v>
      </c>
      <c r="AO113" s="52">
        <f t="shared" si="26"/>
        <v>2011</v>
      </c>
      <c r="AP113" s="52">
        <f t="shared" si="26"/>
        <v>2012</v>
      </c>
      <c r="AQ113" s="52">
        <f t="shared" si="26"/>
        <v>2013</v>
      </c>
      <c r="AR113" s="52">
        <f t="shared" si="26"/>
        <v>2014</v>
      </c>
      <c r="AS113" s="52">
        <f t="shared" si="26"/>
        <v>2015</v>
      </c>
      <c r="AT113" s="52">
        <f t="shared" si="26"/>
        <v>2016</v>
      </c>
      <c r="AU113" s="52">
        <f t="shared" si="26"/>
        <v>2017</v>
      </c>
      <c r="AV113" s="52">
        <f t="shared" si="26"/>
        <v>2018</v>
      </c>
      <c r="AW113" s="52">
        <f t="shared" si="26"/>
        <v>2019</v>
      </c>
      <c r="AX113" s="52">
        <f t="shared" si="26"/>
        <v>2020</v>
      </c>
    </row>
    <row r="114" spans="1:50" x14ac:dyDescent="0.3">
      <c r="A114" s="51" t="s">
        <v>220</v>
      </c>
      <c r="B114" s="51" t="s">
        <v>221</v>
      </c>
      <c r="C114" s="51">
        <v>0.1696</v>
      </c>
      <c r="D114" s="51">
        <v>0.1696</v>
      </c>
      <c r="E114" s="51">
        <v>0.14230000000000001</v>
      </c>
      <c r="F114" s="51">
        <v>0.1406</v>
      </c>
      <c r="G114" s="51">
        <v>0.1406</v>
      </c>
      <c r="H114" s="51">
        <v>0.1389</v>
      </c>
      <c r="I114" s="51">
        <v>0.1389</v>
      </c>
      <c r="J114" s="51">
        <v>0.1326</v>
      </c>
      <c r="K114" s="51">
        <v>8.0199999999999994E-2</v>
      </c>
      <c r="L114" s="51">
        <v>7.9500000000000001E-2</v>
      </c>
      <c r="M114" s="51">
        <v>7.8200000000000006E-2</v>
      </c>
      <c r="N114" s="51">
        <v>7.0400000000000004E-2</v>
      </c>
      <c r="O114" s="51">
        <v>7.0400000000000004E-2</v>
      </c>
      <c r="P114" s="51">
        <v>7.0400000000000004E-2</v>
      </c>
      <c r="Q114" s="51">
        <v>7.0400000000000004E-2</v>
      </c>
      <c r="R114" s="51">
        <v>7.0400000000000004E-2</v>
      </c>
      <c r="S114" s="51">
        <v>7.0400000000000004E-2</v>
      </c>
      <c r="T114" s="51">
        <v>7.0400000000000004E-2</v>
      </c>
      <c r="U114" s="51">
        <v>7.0400000000000004E-2</v>
      </c>
      <c r="V114" s="51">
        <v>7.0400000000000004E-2</v>
      </c>
      <c r="W114" s="51">
        <v>7.0400000000000004E-2</v>
      </c>
      <c r="X114" s="51">
        <v>5.3100000000000001E-2</v>
      </c>
      <c r="Y114" s="51">
        <v>3.5799999999999998E-2</v>
      </c>
      <c r="Z114" s="51">
        <v>2.7199999999999998E-2</v>
      </c>
      <c r="AA114" s="51">
        <v>2.6800000000000001E-2</v>
      </c>
      <c r="AB114" s="51">
        <v>2.41E-2</v>
      </c>
      <c r="AC114" s="51">
        <v>2.1600000000000001E-2</v>
      </c>
      <c r="AD114" s="51">
        <v>1.78E-2</v>
      </c>
      <c r="AE114" s="51">
        <v>1.0999999999999999E-2</v>
      </c>
      <c r="AF114" s="51">
        <v>1.0699999999999999E-2</v>
      </c>
      <c r="AG114" s="51">
        <v>1.15E-2</v>
      </c>
      <c r="AH114" s="51">
        <v>1.5699999999999999E-2</v>
      </c>
      <c r="AI114" s="51">
        <v>1.6400000000000001E-2</v>
      </c>
      <c r="AJ114" s="51">
        <v>1.61E-2</v>
      </c>
      <c r="AK114" s="51">
        <v>1.7000000000000001E-2</v>
      </c>
      <c r="AL114" s="51">
        <v>1.72E-2</v>
      </c>
      <c r="AM114" s="51">
        <v>1.7299999999999999E-2</v>
      </c>
      <c r="AN114" s="51">
        <v>1.7299999999999999E-2</v>
      </c>
      <c r="AO114" s="51">
        <v>1.7299999999999999E-2</v>
      </c>
      <c r="AP114" s="51">
        <v>1.7299999999999999E-2</v>
      </c>
      <c r="AQ114" s="51">
        <v>1.7299999999999999E-2</v>
      </c>
      <c r="AR114" s="51">
        <v>1.7299999999999999E-2</v>
      </c>
      <c r="AS114" s="51">
        <v>1.7299999999999999E-2</v>
      </c>
      <c r="AT114" s="51">
        <v>1.7299999999999999E-2</v>
      </c>
      <c r="AU114" s="51">
        <v>1.7299999999999999E-2</v>
      </c>
      <c r="AV114" s="51">
        <v>1.7299999999999999E-2</v>
      </c>
      <c r="AW114" s="51">
        <v>1.7299999999999999E-2</v>
      </c>
      <c r="AX114" s="51">
        <v>1.7299999999999999E-2</v>
      </c>
    </row>
    <row r="115" spans="1:50" x14ac:dyDescent="0.3">
      <c r="A115" s="51" t="s">
        <v>220</v>
      </c>
      <c r="B115" s="51" t="s">
        <v>222</v>
      </c>
      <c r="C115" s="51">
        <v>1.9699999999999999E-2</v>
      </c>
      <c r="D115" s="51">
        <v>1.9699999999999999E-2</v>
      </c>
      <c r="E115" s="51">
        <v>4.4299999999999999E-2</v>
      </c>
      <c r="F115" s="51">
        <v>4.58E-2</v>
      </c>
      <c r="G115" s="51">
        <v>4.58E-2</v>
      </c>
      <c r="H115" s="51">
        <v>4.7300000000000002E-2</v>
      </c>
      <c r="I115" s="51">
        <v>4.7300000000000002E-2</v>
      </c>
      <c r="J115" s="51">
        <v>4.99E-2</v>
      </c>
      <c r="K115" s="51">
        <v>6.2600000000000003E-2</v>
      </c>
      <c r="L115" s="51">
        <v>6.2700000000000006E-2</v>
      </c>
      <c r="M115" s="51">
        <v>6.3E-2</v>
      </c>
      <c r="N115" s="51">
        <v>6.4699999999999994E-2</v>
      </c>
      <c r="O115" s="51">
        <v>6.4699999999999994E-2</v>
      </c>
      <c r="P115" s="51">
        <v>6.4699999999999994E-2</v>
      </c>
      <c r="Q115" s="51">
        <v>6.4699999999999994E-2</v>
      </c>
      <c r="R115" s="51">
        <v>6.4699999999999994E-2</v>
      </c>
      <c r="S115" s="51">
        <v>6.4699999999999994E-2</v>
      </c>
      <c r="T115" s="51">
        <v>6.4699999999999994E-2</v>
      </c>
      <c r="U115" s="51">
        <v>6.4699999999999994E-2</v>
      </c>
      <c r="V115" s="51">
        <v>6.4699999999999994E-2</v>
      </c>
      <c r="W115" s="51">
        <v>6.4699999999999994E-2</v>
      </c>
      <c r="X115" s="51">
        <v>5.6000000000000001E-2</v>
      </c>
      <c r="Y115" s="51">
        <v>4.7300000000000002E-2</v>
      </c>
      <c r="Z115" s="51">
        <v>4.2599999999999999E-2</v>
      </c>
      <c r="AA115" s="51">
        <v>4.2200000000000001E-2</v>
      </c>
      <c r="AB115" s="51">
        <v>3.7900000000000003E-2</v>
      </c>
      <c r="AC115" s="51">
        <v>3.3700000000000001E-2</v>
      </c>
      <c r="AD115" s="51">
        <v>2.7300000000000001E-2</v>
      </c>
      <c r="AE115" s="51">
        <v>1.5800000000000002E-2</v>
      </c>
      <c r="AF115" s="51">
        <v>1.5299999999999999E-2</v>
      </c>
      <c r="AG115" s="51">
        <v>1.3299999999999999E-2</v>
      </c>
      <c r="AH115" s="51">
        <v>6.3E-3</v>
      </c>
      <c r="AI115" s="51">
        <v>5.1000000000000004E-3</v>
      </c>
      <c r="AJ115" s="51">
        <v>5.7000000000000002E-3</v>
      </c>
      <c r="AK115" s="51">
        <v>4.1000000000000003E-3</v>
      </c>
      <c r="AL115" s="51">
        <v>3.8E-3</v>
      </c>
      <c r="AM115" s="51">
        <v>3.5999999999999999E-3</v>
      </c>
      <c r="AN115" s="51">
        <v>3.5999999999999999E-3</v>
      </c>
      <c r="AO115" s="51">
        <v>3.5999999999999999E-3</v>
      </c>
      <c r="AP115" s="51">
        <v>3.5999999999999999E-3</v>
      </c>
      <c r="AQ115" s="51">
        <v>3.5999999999999999E-3</v>
      </c>
      <c r="AR115" s="51">
        <v>3.5999999999999999E-3</v>
      </c>
      <c r="AS115" s="51">
        <v>3.5999999999999999E-3</v>
      </c>
      <c r="AT115" s="51">
        <v>3.5999999999999999E-3</v>
      </c>
      <c r="AU115" s="51">
        <v>3.5999999999999999E-3</v>
      </c>
      <c r="AV115" s="51">
        <v>3.5999999999999999E-3</v>
      </c>
      <c r="AW115" s="51">
        <v>3.5999999999999999E-3</v>
      </c>
      <c r="AX115" s="51">
        <v>3.5999999999999999E-3</v>
      </c>
    </row>
    <row r="116" spans="1:50" x14ac:dyDescent="0.3">
      <c r="A116" s="51" t="s">
        <v>223</v>
      </c>
      <c r="B116" s="51" t="s">
        <v>221</v>
      </c>
      <c r="C116" s="51">
        <v>0.1908</v>
      </c>
      <c r="D116" s="51">
        <v>0.1908</v>
      </c>
      <c r="E116" s="51">
        <v>0.16339999999999999</v>
      </c>
      <c r="F116" s="51">
        <v>0.15939999999999999</v>
      </c>
      <c r="G116" s="51">
        <v>0.16139999999999999</v>
      </c>
      <c r="H116" s="51">
        <v>0.16139999999999999</v>
      </c>
      <c r="I116" s="51">
        <v>0.15939999999999999</v>
      </c>
      <c r="J116" s="51">
        <v>0.15939999999999999</v>
      </c>
      <c r="K116" s="51">
        <v>0.1479</v>
      </c>
      <c r="L116" s="51">
        <v>0.14419999999999999</v>
      </c>
      <c r="M116" s="51">
        <v>0.1368</v>
      </c>
      <c r="N116" s="51">
        <v>0.12939999999999999</v>
      </c>
      <c r="O116" s="51">
        <v>0.122</v>
      </c>
      <c r="P116" s="51">
        <v>0.11459999999999999</v>
      </c>
      <c r="Q116" s="51">
        <v>8.1299999999999997E-2</v>
      </c>
      <c r="R116" s="51">
        <v>8.1299999999999997E-2</v>
      </c>
      <c r="S116" s="51">
        <v>8.1299999999999997E-2</v>
      </c>
      <c r="T116" s="51">
        <v>8.1299999999999997E-2</v>
      </c>
      <c r="U116" s="51">
        <v>8.1299999999999997E-2</v>
      </c>
      <c r="V116" s="51">
        <v>8.1299999999999997E-2</v>
      </c>
      <c r="W116" s="51">
        <v>8.1299999999999997E-2</v>
      </c>
      <c r="X116" s="51">
        <v>6.4600000000000005E-2</v>
      </c>
      <c r="Y116" s="51">
        <v>5.1700000000000003E-2</v>
      </c>
      <c r="Z116" s="51">
        <v>4.5199999999999997E-2</v>
      </c>
      <c r="AA116" s="51">
        <v>4.5199999999999997E-2</v>
      </c>
      <c r="AB116" s="51">
        <v>4.1200000000000001E-2</v>
      </c>
      <c r="AC116" s="51">
        <v>3.3300000000000003E-2</v>
      </c>
      <c r="AD116" s="51">
        <v>3.4000000000000002E-2</v>
      </c>
      <c r="AE116" s="51">
        <v>2.2100000000000002E-2</v>
      </c>
      <c r="AF116" s="51">
        <v>2.4199999999999999E-2</v>
      </c>
      <c r="AG116" s="51">
        <v>2.2499999999999999E-2</v>
      </c>
      <c r="AH116" s="51">
        <v>1.6199999999999999E-2</v>
      </c>
      <c r="AI116" s="51">
        <v>1.6E-2</v>
      </c>
      <c r="AJ116" s="51">
        <v>1.5900000000000001E-2</v>
      </c>
      <c r="AK116" s="51">
        <v>1.61E-2</v>
      </c>
      <c r="AL116" s="51">
        <v>1.6299999999999999E-2</v>
      </c>
      <c r="AM116" s="51">
        <v>1.6299999999999999E-2</v>
      </c>
      <c r="AN116" s="51">
        <v>1.6299999999999999E-2</v>
      </c>
      <c r="AO116" s="51">
        <v>1.6299999999999999E-2</v>
      </c>
      <c r="AP116" s="51">
        <v>1.6299999999999999E-2</v>
      </c>
      <c r="AQ116" s="51">
        <v>1.6299999999999999E-2</v>
      </c>
      <c r="AR116" s="51">
        <v>1.6299999999999999E-2</v>
      </c>
      <c r="AS116" s="51">
        <v>1.6299999999999999E-2</v>
      </c>
      <c r="AT116" s="51">
        <v>1.6299999999999999E-2</v>
      </c>
      <c r="AU116" s="51">
        <v>1.6299999999999999E-2</v>
      </c>
      <c r="AV116" s="51">
        <v>1.6299999999999999E-2</v>
      </c>
      <c r="AW116" s="51">
        <v>1.6299999999999999E-2</v>
      </c>
      <c r="AX116" s="51">
        <v>1.6299999999999999E-2</v>
      </c>
    </row>
    <row r="117" spans="1:50" x14ac:dyDescent="0.3">
      <c r="A117" s="51" t="s">
        <v>223</v>
      </c>
      <c r="B117" s="51" t="s">
        <v>222</v>
      </c>
      <c r="C117" s="51">
        <v>2.18E-2</v>
      </c>
      <c r="D117" s="51">
        <v>2.18E-2</v>
      </c>
      <c r="E117" s="51">
        <v>5.1299999999999998E-2</v>
      </c>
      <c r="F117" s="51">
        <v>5.5500000000000001E-2</v>
      </c>
      <c r="G117" s="51">
        <v>5.3400000000000003E-2</v>
      </c>
      <c r="H117" s="51">
        <v>5.3400000000000003E-2</v>
      </c>
      <c r="I117" s="51">
        <v>5.5500000000000001E-2</v>
      </c>
      <c r="J117" s="51">
        <v>5.5500000000000001E-2</v>
      </c>
      <c r="K117" s="51">
        <v>6.6000000000000003E-2</v>
      </c>
      <c r="L117" s="51">
        <v>6.8099999999999994E-2</v>
      </c>
      <c r="M117" s="51">
        <v>7.22E-2</v>
      </c>
      <c r="N117" s="51">
        <v>7.6399999999999996E-2</v>
      </c>
      <c r="O117" s="51">
        <v>8.0600000000000005E-2</v>
      </c>
      <c r="P117" s="51">
        <v>8.48E-2</v>
      </c>
      <c r="Q117" s="51">
        <v>0.10349999999999999</v>
      </c>
      <c r="R117" s="51">
        <v>0.10349999999999999</v>
      </c>
      <c r="S117" s="51">
        <v>0.10349999999999999</v>
      </c>
      <c r="T117" s="51">
        <v>0.10349999999999999</v>
      </c>
      <c r="U117" s="51">
        <v>0.10349999999999999</v>
      </c>
      <c r="V117" s="51">
        <v>0.10349999999999999</v>
      </c>
      <c r="W117" s="51">
        <v>0.10349999999999999</v>
      </c>
      <c r="X117" s="51">
        <v>9.8199999999999996E-2</v>
      </c>
      <c r="Y117" s="51">
        <v>9.0800000000000006E-2</v>
      </c>
      <c r="Z117" s="51">
        <v>8.7099999999999997E-2</v>
      </c>
      <c r="AA117" s="51">
        <v>8.7099999999999997E-2</v>
      </c>
      <c r="AB117" s="51">
        <v>7.7799999999999994E-2</v>
      </c>
      <c r="AC117" s="51">
        <v>5.9299999999999999E-2</v>
      </c>
      <c r="AD117" s="51">
        <v>6.0699999999999997E-2</v>
      </c>
      <c r="AE117" s="51">
        <v>3.2800000000000003E-2</v>
      </c>
      <c r="AF117" s="51">
        <v>3.78E-2</v>
      </c>
      <c r="AG117" s="51">
        <v>3.3000000000000002E-2</v>
      </c>
      <c r="AH117" s="51">
        <v>9.7999999999999997E-3</v>
      </c>
      <c r="AI117" s="51">
        <v>8.0999999999999996E-3</v>
      </c>
      <c r="AJ117" s="51">
        <v>8.8000000000000005E-3</v>
      </c>
      <c r="AK117" s="51">
        <v>7.9000000000000008E-3</v>
      </c>
      <c r="AL117" s="51">
        <v>6.6E-3</v>
      </c>
      <c r="AM117" s="51">
        <v>6.6E-3</v>
      </c>
      <c r="AN117" s="51">
        <v>6.6E-3</v>
      </c>
      <c r="AO117" s="51">
        <v>6.6E-3</v>
      </c>
      <c r="AP117" s="51">
        <v>6.6E-3</v>
      </c>
      <c r="AQ117" s="51">
        <v>6.6E-3</v>
      </c>
      <c r="AR117" s="51">
        <v>6.6E-3</v>
      </c>
      <c r="AS117" s="51">
        <v>6.6E-3</v>
      </c>
      <c r="AT117" s="51">
        <v>6.6E-3</v>
      </c>
      <c r="AU117" s="51">
        <v>6.6E-3</v>
      </c>
      <c r="AV117" s="51">
        <v>6.6E-3</v>
      </c>
      <c r="AW117" s="51">
        <v>6.6E-3</v>
      </c>
      <c r="AX117" s="51">
        <v>6.6E-3</v>
      </c>
    </row>
    <row r="118" spans="1:50" x14ac:dyDescent="0.3">
      <c r="A118" s="51" t="s">
        <v>224</v>
      </c>
      <c r="B118" s="51" t="s">
        <v>221</v>
      </c>
      <c r="C118" s="51">
        <v>0.46039999999999998</v>
      </c>
      <c r="D118" s="51">
        <v>0.46039999999999998</v>
      </c>
      <c r="E118" s="51">
        <v>0.46039999999999998</v>
      </c>
      <c r="F118" s="51">
        <v>0.46039999999999998</v>
      </c>
      <c r="G118" s="51">
        <v>0.46039999999999998</v>
      </c>
      <c r="H118" s="51">
        <v>0.46039999999999998</v>
      </c>
      <c r="I118" s="51">
        <v>0.46039999999999998</v>
      </c>
      <c r="J118" s="51">
        <v>0.46039999999999998</v>
      </c>
      <c r="K118" s="51">
        <v>0.46039999999999998</v>
      </c>
      <c r="L118" s="51">
        <v>0.44919999999999999</v>
      </c>
      <c r="M118" s="51">
        <v>0.44919999999999999</v>
      </c>
      <c r="N118" s="51">
        <v>0.44919999999999999</v>
      </c>
      <c r="O118" s="51">
        <v>0.40899999999999997</v>
      </c>
      <c r="P118" s="51">
        <v>0.40899999999999997</v>
      </c>
      <c r="Q118" s="51">
        <v>0.36749999999999999</v>
      </c>
      <c r="R118" s="51">
        <v>0.34920000000000001</v>
      </c>
      <c r="S118" s="51">
        <v>0.34920000000000001</v>
      </c>
      <c r="T118" s="51">
        <v>0.3246</v>
      </c>
      <c r="U118" s="51">
        <v>0.3246</v>
      </c>
      <c r="V118" s="51">
        <v>0.3246</v>
      </c>
      <c r="W118" s="51">
        <v>0.3246</v>
      </c>
      <c r="X118" s="51">
        <v>0.3246</v>
      </c>
      <c r="Y118" s="51">
        <v>0.3246</v>
      </c>
      <c r="Z118" s="51">
        <v>0.1278</v>
      </c>
      <c r="AA118" s="51">
        <v>9.2399999999999996E-2</v>
      </c>
      <c r="AB118" s="51">
        <v>6.5500000000000003E-2</v>
      </c>
      <c r="AC118" s="51">
        <v>6.4799999999999996E-2</v>
      </c>
      <c r="AD118" s="51">
        <v>6.3E-2</v>
      </c>
      <c r="AE118" s="51">
        <v>5.7799999999999997E-2</v>
      </c>
      <c r="AF118" s="51">
        <v>6.3399999999999998E-2</v>
      </c>
      <c r="AG118" s="51">
        <v>6.0299999999999999E-2</v>
      </c>
      <c r="AH118" s="51">
        <v>3.2300000000000002E-2</v>
      </c>
      <c r="AI118" s="51">
        <v>3.2899999999999999E-2</v>
      </c>
      <c r="AJ118" s="51">
        <v>3.1800000000000002E-2</v>
      </c>
      <c r="AK118" s="51">
        <v>3.3300000000000003E-2</v>
      </c>
      <c r="AL118" s="51">
        <v>3.3300000000000003E-2</v>
      </c>
      <c r="AM118" s="51">
        <v>3.3300000000000003E-2</v>
      </c>
      <c r="AN118" s="51">
        <v>3.3300000000000003E-2</v>
      </c>
      <c r="AO118" s="51">
        <v>3.3300000000000003E-2</v>
      </c>
      <c r="AP118" s="51">
        <v>3.3300000000000003E-2</v>
      </c>
      <c r="AQ118" s="51">
        <v>3.3300000000000003E-2</v>
      </c>
      <c r="AR118" s="51">
        <v>3.3300000000000003E-2</v>
      </c>
      <c r="AS118" s="51">
        <v>3.3300000000000003E-2</v>
      </c>
      <c r="AT118" s="51">
        <v>3.3300000000000003E-2</v>
      </c>
      <c r="AU118" s="51">
        <v>3.3300000000000003E-2</v>
      </c>
      <c r="AV118" s="51">
        <v>3.3300000000000003E-2</v>
      </c>
      <c r="AW118" s="51">
        <v>3.3300000000000003E-2</v>
      </c>
      <c r="AX118" s="51">
        <v>3.3300000000000003E-2</v>
      </c>
    </row>
    <row r="119" spans="1:50" x14ac:dyDescent="0.3">
      <c r="A119" s="51" t="s">
        <v>224</v>
      </c>
      <c r="B119" s="51" t="s">
        <v>222</v>
      </c>
      <c r="C119" s="51">
        <v>4.9700000000000001E-2</v>
      </c>
      <c r="D119" s="51">
        <v>4.9700000000000001E-2</v>
      </c>
      <c r="E119" s="51">
        <v>4.9700000000000001E-2</v>
      </c>
      <c r="F119" s="51">
        <v>4.9700000000000001E-2</v>
      </c>
      <c r="G119" s="51">
        <v>4.9700000000000001E-2</v>
      </c>
      <c r="H119" s="51">
        <v>4.9700000000000001E-2</v>
      </c>
      <c r="I119" s="51">
        <v>4.9700000000000001E-2</v>
      </c>
      <c r="J119" s="51">
        <v>4.9700000000000001E-2</v>
      </c>
      <c r="K119" s="51">
        <v>4.9700000000000001E-2</v>
      </c>
      <c r="L119" s="51">
        <v>5.3800000000000001E-2</v>
      </c>
      <c r="M119" s="51">
        <v>5.3800000000000001E-2</v>
      </c>
      <c r="N119" s="51">
        <v>5.3800000000000001E-2</v>
      </c>
      <c r="O119" s="51">
        <v>5.1499999999999997E-2</v>
      </c>
      <c r="P119" s="51">
        <v>5.1499999999999997E-2</v>
      </c>
      <c r="Q119" s="51">
        <v>8.4900000000000003E-2</v>
      </c>
      <c r="R119" s="51">
        <v>9.3299999999999994E-2</v>
      </c>
      <c r="S119" s="51">
        <v>9.3299999999999994E-2</v>
      </c>
      <c r="T119" s="51">
        <v>0.1142</v>
      </c>
      <c r="U119" s="51">
        <v>0.1142</v>
      </c>
      <c r="V119" s="51">
        <v>0.1142</v>
      </c>
      <c r="W119" s="51">
        <v>0.1142</v>
      </c>
      <c r="X119" s="51">
        <v>0.1142</v>
      </c>
      <c r="Y119" s="51">
        <v>0.1142</v>
      </c>
      <c r="Z119" s="51">
        <v>0.16800000000000001</v>
      </c>
      <c r="AA119" s="51">
        <v>0.1726</v>
      </c>
      <c r="AB119" s="51">
        <v>0.17499999999999999</v>
      </c>
      <c r="AC119" s="51">
        <v>0.1721</v>
      </c>
      <c r="AD119" s="51">
        <v>0.16500000000000001</v>
      </c>
      <c r="AE119" s="51">
        <v>0.14349999999999999</v>
      </c>
      <c r="AF119" s="51">
        <v>0.16639999999999999</v>
      </c>
      <c r="AG119" s="51">
        <v>0.15340000000000001</v>
      </c>
      <c r="AH119" s="51">
        <v>1.95E-2</v>
      </c>
      <c r="AI119" s="51">
        <v>1.6199999999999999E-2</v>
      </c>
      <c r="AJ119" s="51">
        <v>2.2700000000000001E-2</v>
      </c>
      <c r="AK119" s="51">
        <v>1.34E-2</v>
      </c>
      <c r="AL119" s="51">
        <v>1.34E-2</v>
      </c>
      <c r="AM119" s="51">
        <v>1.34E-2</v>
      </c>
      <c r="AN119" s="51">
        <v>1.34E-2</v>
      </c>
      <c r="AO119" s="51">
        <v>1.34E-2</v>
      </c>
      <c r="AP119" s="51">
        <v>1.34E-2</v>
      </c>
      <c r="AQ119" s="51">
        <v>1.34E-2</v>
      </c>
      <c r="AR119" s="51">
        <v>1.34E-2</v>
      </c>
      <c r="AS119" s="51">
        <v>1.34E-2</v>
      </c>
      <c r="AT119" s="51">
        <v>1.34E-2</v>
      </c>
      <c r="AU119" s="51">
        <v>1.34E-2</v>
      </c>
      <c r="AV119" s="51">
        <v>1.34E-2</v>
      </c>
      <c r="AW119" s="51">
        <v>1.34E-2</v>
      </c>
      <c r="AX119" s="51">
        <v>1.34E-2</v>
      </c>
    </row>
    <row r="120" spans="1:50" x14ac:dyDescent="0.3">
      <c r="A120" s="51" t="s">
        <v>225</v>
      </c>
      <c r="B120" s="51" t="s">
        <v>221</v>
      </c>
      <c r="C120" s="51">
        <v>8.9899999999999994E-2</v>
      </c>
      <c r="D120" s="51">
        <v>8.9899999999999994E-2</v>
      </c>
      <c r="E120" s="51">
        <v>8.9899999999999994E-2</v>
      </c>
      <c r="F120" s="51">
        <v>8.9899999999999994E-2</v>
      </c>
      <c r="G120" s="51">
        <v>8.9899999999999994E-2</v>
      </c>
      <c r="H120" s="51">
        <v>8.9899999999999994E-2</v>
      </c>
      <c r="I120" s="51">
        <v>8.9899999999999994E-2</v>
      </c>
      <c r="J120" s="51">
        <v>8.9899999999999994E-2</v>
      </c>
      <c r="K120" s="51">
        <v>8.9899999999999994E-2</v>
      </c>
      <c r="L120" s="51">
        <v>8.9899999999999994E-2</v>
      </c>
      <c r="M120" s="51">
        <v>8.9899999999999994E-2</v>
      </c>
      <c r="N120" s="51">
        <v>8.9899999999999994E-2</v>
      </c>
      <c r="O120" s="51">
        <v>8.9899999999999994E-2</v>
      </c>
      <c r="P120" s="51">
        <v>8.9899999999999994E-2</v>
      </c>
      <c r="Q120" s="51">
        <v>8.9899999999999994E-2</v>
      </c>
      <c r="R120" s="51">
        <v>8.9899999999999994E-2</v>
      </c>
      <c r="S120" s="51">
        <v>8.9899999999999994E-2</v>
      </c>
      <c r="T120" s="51">
        <v>8.9899999999999994E-2</v>
      </c>
      <c r="U120" s="51">
        <v>8.9899999999999994E-2</v>
      </c>
      <c r="V120" s="51">
        <v>8.9899999999999994E-2</v>
      </c>
      <c r="W120" s="51">
        <v>8.9899999999999994E-2</v>
      </c>
      <c r="X120" s="51">
        <v>8.9899999999999994E-2</v>
      </c>
      <c r="Y120" s="51">
        <v>8.9899999999999994E-2</v>
      </c>
      <c r="Z120" s="51">
        <v>6.7199999999999996E-2</v>
      </c>
      <c r="AA120" s="51">
        <v>6.7199999999999996E-2</v>
      </c>
      <c r="AB120" s="51">
        <v>6.7199999999999996E-2</v>
      </c>
      <c r="AC120" s="51">
        <v>6.7199999999999996E-2</v>
      </c>
      <c r="AD120" s="51">
        <v>6.7199999999999996E-2</v>
      </c>
      <c r="AE120" s="51">
        <v>6.7199999999999996E-2</v>
      </c>
      <c r="AF120" s="51">
        <v>6.7199999999999996E-2</v>
      </c>
      <c r="AG120" s="51">
        <v>6.7199999999999996E-2</v>
      </c>
      <c r="AH120" s="51">
        <v>6.7199999999999996E-2</v>
      </c>
      <c r="AI120" s="51">
        <v>6.7199999999999996E-2</v>
      </c>
      <c r="AJ120" s="51">
        <v>6.7199999999999996E-2</v>
      </c>
      <c r="AK120" s="51">
        <v>6.7199999999999996E-2</v>
      </c>
      <c r="AL120" s="51">
        <v>6.7199999999999996E-2</v>
      </c>
      <c r="AM120" s="51">
        <v>6.7199999999999996E-2</v>
      </c>
      <c r="AN120" s="51">
        <v>6.7199999999999996E-2</v>
      </c>
      <c r="AO120" s="51">
        <v>6.7199999999999996E-2</v>
      </c>
      <c r="AP120" s="51">
        <v>6.7199999999999996E-2</v>
      </c>
      <c r="AQ120" s="51">
        <v>6.7199999999999996E-2</v>
      </c>
      <c r="AR120" s="51">
        <v>6.7199999999999996E-2</v>
      </c>
      <c r="AS120" s="51">
        <v>6.7199999999999996E-2</v>
      </c>
      <c r="AT120" s="51">
        <v>6.7199999999999996E-2</v>
      </c>
      <c r="AU120" s="51">
        <v>6.7199999999999996E-2</v>
      </c>
      <c r="AV120" s="51">
        <v>6.7199999999999996E-2</v>
      </c>
      <c r="AW120" s="51">
        <v>6.7199999999999996E-2</v>
      </c>
      <c r="AX120" s="51">
        <v>6.7199999999999996E-2</v>
      </c>
    </row>
    <row r="121" spans="1:50" x14ac:dyDescent="0.3">
      <c r="A121" s="51" t="s">
        <v>225</v>
      </c>
      <c r="B121" s="51" t="s">
        <v>222</v>
      </c>
      <c r="C121" s="51">
        <v>8.6999999999999994E-3</v>
      </c>
      <c r="D121" s="51">
        <v>8.6999999999999994E-3</v>
      </c>
      <c r="E121" s="51">
        <v>8.6999999999999994E-3</v>
      </c>
      <c r="F121" s="51">
        <v>8.6999999999999994E-3</v>
      </c>
      <c r="G121" s="51">
        <v>8.6999999999999994E-3</v>
      </c>
      <c r="H121" s="51">
        <v>8.6999999999999994E-3</v>
      </c>
      <c r="I121" s="51">
        <v>8.6999999999999994E-3</v>
      </c>
      <c r="J121" s="51">
        <v>8.6999999999999994E-3</v>
      </c>
      <c r="K121" s="51">
        <v>8.6999999999999994E-3</v>
      </c>
      <c r="L121" s="51">
        <v>8.6999999999999994E-3</v>
      </c>
      <c r="M121" s="51">
        <v>8.6999999999999994E-3</v>
      </c>
      <c r="N121" s="51">
        <v>8.6999999999999994E-3</v>
      </c>
      <c r="O121" s="51">
        <v>8.6999999999999994E-3</v>
      </c>
      <c r="P121" s="51">
        <v>8.6999999999999994E-3</v>
      </c>
      <c r="Q121" s="51">
        <v>8.6999999999999994E-3</v>
      </c>
      <c r="R121" s="51">
        <v>8.6999999999999994E-3</v>
      </c>
      <c r="S121" s="51">
        <v>8.6999999999999994E-3</v>
      </c>
      <c r="T121" s="51">
        <v>8.6999999999999994E-3</v>
      </c>
      <c r="U121" s="51">
        <v>8.6999999999999994E-3</v>
      </c>
      <c r="V121" s="51">
        <v>8.6999999999999994E-3</v>
      </c>
      <c r="W121" s="51">
        <v>8.6999999999999994E-3</v>
      </c>
      <c r="X121" s="51">
        <v>8.6999999999999994E-3</v>
      </c>
      <c r="Y121" s="51">
        <v>8.6999999999999994E-3</v>
      </c>
      <c r="Z121" s="51">
        <v>6.8999999999999999E-3</v>
      </c>
      <c r="AA121" s="51">
        <v>6.8999999999999999E-3</v>
      </c>
      <c r="AB121" s="51">
        <v>6.8999999999999999E-3</v>
      </c>
      <c r="AC121" s="51">
        <v>6.8999999999999999E-3</v>
      </c>
      <c r="AD121" s="51">
        <v>6.8999999999999999E-3</v>
      </c>
      <c r="AE121" s="51">
        <v>6.8999999999999999E-3</v>
      </c>
      <c r="AF121" s="51">
        <v>6.8999999999999999E-3</v>
      </c>
      <c r="AG121" s="51">
        <v>6.8999999999999999E-3</v>
      </c>
      <c r="AH121" s="51">
        <v>6.8999999999999999E-3</v>
      </c>
      <c r="AI121" s="51">
        <v>6.8999999999999999E-3</v>
      </c>
      <c r="AJ121" s="51">
        <v>6.8999999999999999E-3</v>
      </c>
      <c r="AK121" s="51">
        <v>6.8999999999999999E-3</v>
      </c>
      <c r="AL121" s="51">
        <v>6.8999999999999999E-3</v>
      </c>
      <c r="AM121" s="51">
        <v>6.8999999999999999E-3</v>
      </c>
      <c r="AN121" s="51">
        <v>6.8999999999999999E-3</v>
      </c>
      <c r="AO121" s="51">
        <v>6.8999999999999999E-3</v>
      </c>
      <c r="AP121" s="51">
        <v>6.8999999999999999E-3</v>
      </c>
      <c r="AQ121" s="51">
        <v>6.8999999999999999E-3</v>
      </c>
      <c r="AR121" s="51">
        <v>6.8999999999999999E-3</v>
      </c>
      <c r="AS121" s="51">
        <v>6.8999999999999999E-3</v>
      </c>
      <c r="AT121" s="51">
        <v>6.8999999999999999E-3</v>
      </c>
      <c r="AU121" s="51">
        <v>6.8999999999999999E-3</v>
      </c>
      <c r="AV121" s="51">
        <v>6.8999999999999999E-3</v>
      </c>
      <c r="AW121" s="51">
        <v>6.8999999999999999E-3</v>
      </c>
      <c r="AX121" s="51">
        <v>6.8999999999999999E-3</v>
      </c>
    </row>
    <row r="123" spans="1:50" s="138" customFormat="1" ht="18" x14ac:dyDescent="0.35">
      <c r="A123" s="117" t="s">
        <v>1100</v>
      </c>
      <c r="B123" s="117" t="s">
        <v>226</v>
      </c>
      <c r="C123" s="117"/>
      <c r="D123" s="117"/>
      <c r="E123" s="117"/>
      <c r="F123" s="117"/>
      <c r="G123" s="117"/>
      <c r="H123" s="117"/>
      <c r="I123" s="117"/>
      <c r="J123" s="117"/>
      <c r="K123" s="117"/>
      <c r="L123" s="117"/>
      <c r="M123" s="117"/>
      <c r="N123" s="117"/>
      <c r="O123" s="117"/>
      <c r="P123" s="117"/>
      <c r="Q123" s="117"/>
      <c r="R123" s="117"/>
      <c r="S123" s="117"/>
      <c r="T123" s="117"/>
      <c r="U123" s="117"/>
      <c r="V123" s="117"/>
      <c r="W123" s="117"/>
      <c r="X123" s="117"/>
      <c r="Y123" s="117"/>
      <c r="Z123" s="117"/>
      <c r="AA123" s="117"/>
      <c r="AB123" s="117"/>
      <c r="AC123" s="117"/>
      <c r="AD123" s="117"/>
      <c r="AE123" s="117"/>
      <c r="AF123" s="117"/>
      <c r="AG123" s="117"/>
      <c r="AH123" s="117"/>
      <c r="AI123" s="117"/>
      <c r="AJ123" s="117"/>
      <c r="AK123" s="117"/>
      <c r="AL123" s="117"/>
      <c r="AM123" s="117"/>
      <c r="AN123" s="117"/>
      <c r="AO123" s="117"/>
      <c r="AP123" s="117"/>
      <c r="AQ123" s="117"/>
      <c r="AR123" s="117"/>
      <c r="AS123" s="117"/>
      <c r="AT123" s="117"/>
      <c r="AU123" s="117"/>
      <c r="AV123" s="117"/>
      <c r="AW123" s="117"/>
      <c r="AX123" s="117"/>
    </row>
    <row r="124" spans="1:50" x14ac:dyDescent="0.3">
      <c r="A124" s="52" t="s">
        <v>61</v>
      </c>
      <c r="B124" s="52" t="s">
        <v>170</v>
      </c>
      <c r="C124" s="52">
        <v>1960</v>
      </c>
      <c r="D124" s="52">
        <v>1983</v>
      </c>
      <c r="E124" s="52">
        <v>1996</v>
      </c>
    </row>
    <row r="125" spans="1:50" x14ac:dyDescent="0.3">
      <c r="A125" s="51" t="s">
        <v>227</v>
      </c>
      <c r="B125" s="51" t="s">
        <v>221</v>
      </c>
      <c r="C125" s="51">
        <v>5.9999999999999995E-4</v>
      </c>
      <c r="D125" s="51">
        <v>5.0000000000000001E-4</v>
      </c>
      <c r="E125" s="51">
        <v>5.0000000000000001E-4</v>
      </c>
    </row>
    <row r="126" spans="1:50" x14ac:dyDescent="0.3">
      <c r="A126" s="51" t="s">
        <v>227</v>
      </c>
      <c r="B126" s="51" t="s">
        <v>222</v>
      </c>
      <c r="C126" s="51">
        <v>1.1999999999999999E-3</v>
      </c>
      <c r="D126" s="51">
        <v>1E-3</v>
      </c>
      <c r="E126" s="51">
        <v>1E-3</v>
      </c>
    </row>
    <row r="127" spans="1:50" x14ac:dyDescent="0.3">
      <c r="A127" s="51" t="s">
        <v>228</v>
      </c>
      <c r="B127" s="51" t="s">
        <v>221</v>
      </c>
      <c r="C127" s="51">
        <v>1.1000000000000001E-3</v>
      </c>
      <c r="D127" s="51">
        <v>8.9999999999999998E-4</v>
      </c>
      <c r="E127" s="51">
        <v>1E-3</v>
      </c>
    </row>
    <row r="128" spans="1:50" x14ac:dyDescent="0.3">
      <c r="A128" s="51" t="s">
        <v>228</v>
      </c>
      <c r="B128" s="51" t="s">
        <v>222</v>
      </c>
      <c r="C128" s="51">
        <v>1.6999999999999999E-3</v>
      </c>
      <c r="D128" s="51">
        <v>1.4E-3</v>
      </c>
      <c r="E128" s="51">
        <v>1.5E-3</v>
      </c>
    </row>
    <row r="129" spans="1:50" ht="28.8" x14ac:dyDescent="0.3">
      <c r="A129" s="58" t="s">
        <v>229</v>
      </c>
      <c r="B129" s="51" t="s">
        <v>221</v>
      </c>
      <c r="C129" s="51">
        <v>5.1000000000000004E-3</v>
      </c>
      <c r="D129" s="51">
        <v>5.1000000000000004E-3</v>
      </c>
      <c r="E129" s="51">
        <v>5.1000000000000004E-3</v>
      </c>
    </row>
    <row r="130" spans="1:50" ht="28.8" x14ac:dyDescent="0.3">
      <c r="A130" s="58" t="s">
        <v>229</v>
      </c>
      <c r="B130" s="51" t="s">
        <v>222</v>
      </c>
      <c r="C130" s="51">
        <v>4.7999999999999996E-3</v>
      </c>
      <c r="D130" s="51">
        <v>4.7999999999999996E-3</v>
      </c>
      <c r="E130" s="51">
        <v>4.7999999999999996E-3</v>
      </c>
    </row>
    <row r="132" spans="1:50" s="138" customFormat="1" ht="18" x14ac:dyDescent="0.35">
      <c r="A132" s="117" t="s">
        <v>1101</v>
      </c>
      <c r="B132" s="117" t="s">
        <v>230</v>
      </c>
      <c r="C132" s="117"/>
      <c r="D132" s="117"/>
      <c r="E132" s="117"/>
      <c r="F132" s="117"/>
      <c r="G132" s="117"/>
      <c r="H132" s="117"/>
      <c r="I132" s="117"/>
      <c r="J132" s="117"/>
      <c r="K132" s="117"/>
      <c r="L132" s="117"/>
      <c r="M132" s="117"/>
      <c r="N132" s="117"/>
      <c r="O132" s="117"/>
      <c r="P132" s="117"/>
      <c r="Q132" s="117"/>
      <c r="R132" s="117"/>
      <c r="S132" s="117"/>
      <c r="T132" s="117"/>
      <c r="U132" s="117"/>
      <c r="V132" s="117"/>
      <c r="W132" s="117"/>
      <c r="X132" s="117"/>
      <c r="Y132" s="117"/>
      <c r="Z132" s="117"/>
      <c r="AA132" s="117"/>
      <c r="AB132" s="117"/>
      <c r="AC132" s="117"/>
      <c r="AD132" s="117"/>
      <c r="AE132" s="117"/>
      <c r="AF132" s="117"/>
      <c r="AG132" s="117"/>
      <c r="AH132" s="117"/>
      <c r="AI132" s="117"/>
      <c r="AJ132" s="117"/>
      <c r="AK132" s="117"/>
      <c r="AL132" s="117"/>
      <c r="AM132" s="117"/>
      <c r="AN132" s="117"/>
      <c r="AO132" s="117"/>
      <c r="AP132" s="117"/>
      <c r="AQ132" s="117"/>
      <c r="AR132" s="117"/>
      <c r="AS132" s="117"/>
      <c r="AT132" s="117"/>
      <c r="AU132" s="117"/>
      <c r="AV132" s="117"/>
      <c r="AW132" s="117"/>
      <c r="AX132" s="117"/>
    </row>
    <row r="133" spans="1:50" x14ac:dyDescent="0.3">
      <c r="A133" s="52" t="s">
        <v>39</v>
      </c>
      <c r="B133" s="52" t="s">
        <v>221</v>
      </c>
      <c r="C133" s="52" t="s">
        <v>222</v>
      </c>
    </row>
    <row r="134" spans="1:50" s="234" customFormat="1" x14ac:dyDescent="0.3">
      <c r="A134" s="53"/>
      <c r="B134" s="53" t="s">
        <v>231</v>
      </c>
      <c r="C134" s="53" t="s">
        <v>231</v>
      </c>
    </row>
    <row r="135" spans="1:50" x14ac:dyDescent="0.3">
      <c r="A135" s="51" t="s">
        <v>232</v>
      </c>
      <c r="B135" s="51">
        <v>0.11</v>
      </c>
      <c r="C135" s="51">
        <v>0.56999999999999995</v>
      </c>
    </row>
    <row r="136" spans="1:50" x14ac:dyDescent="0.3">
      <c r="A136" s="51" t="s">
        <v>233</v>
      </c>
      <c r="B136" s="51">
        <v>0.64</v>
      </c>
      <c r="C136" s="51">
        <v>0.22</v>
      </c>
    </row>
    <row r="137" spans="1:50" x14ac:dyDescent="0.3">
      <c r="A137" s="51" t="s">
        <v>234</v>
      </c>
      <c r="B137" s="51">
        <v>0.06</v>
      </c>
      <c r="C137" s="51">
        <v>0.45</v>
      </c>
    </row>
    <row r="138" spans="1:50" x14ac:dyDescent="0.3">
      <c r="A138" s="51" t="s">
        <v>235</v>
      </c>
      <c r="B138" s="51">
        <v>0.8</v>
      </c>
      <c r="C138" s="51">
        <v>0.26</v>
      </c>
    </row>
    <row r="139" spans="1:50" x14ac:dyDescent="0.3">
      <c r="A139" s="51" t="s">
        <v>236</v>
      </c>
      <c r="B139" s="51">
        <v>1.26</v>
      </c>
      <c r="C139" s="51">
        <v>0.22</v>
      </c>
    </row>
    <row r="140" spans="1:50" x14ac:dyDescent="0.3">
      <c r="A140" s="51" t="s">
        <v>237</v>
      </c>
      <c r="B140" s="51">
        <v>1.44</v>
      </c>
      <c r="C140" s="51">
        <v>0.26</v>
      </c>
    </row>
    <row r="141" spans="1:50" x14ac:dyDescent="0.3">
      <c r="A141" s="51" t="s">
        <v>238</v>
      </c>
      <c r="B141" s="51">
        <v>0.5</v>
      </c>
      <c r="C141" s="51">
        <v>0.22</v>
      </c>
    </row>
    <row r="142" spans="1:50" x14ac:dyDescent="0.3">
      <c r="A142" s="51" t="s">
        <v>239</v>
      </c>
      <c r="B142" s="51">
        <v>0.56999999999999995</v>
      </c>
      <c r="C142" s="51">
        <v>0.26</v>
      </c>
    </row>
    <row r="143" spans="1:50" x14ac:dyDescent="0.3">
      <c r="A143" s="51" t="s">
        <v>240</v>
      </c>
      <c r="B143" s="51">
        <v>0</v>
      </c>
      <c r="C143" s="51">
        <v>0.3</v>
      </c>
    </row>
    <row r="144" spans="1:50" x14ac:dyDescent="0.3">
      <c r="A144" s="51" t="s">
        <v>241</v>
      </c>
      <c r="B144" s="51">
        <v>7.06</v>
      </c>
      <c r="C144" s="51">
        <v>0.11</v>
      </c>
    </row>
    <row r="145" spans="1:50" x14ac:dyDescent="0.3">
      <c r="A145" s="51" t="s">
        <v>242</v>
      </c>
      <c r="B145" s="51">
        <v>0.5</v>
      </c>
      <c r="C145" s="51">
        <v>0.22</v>
      </c>
    </row>
    <row r="146" spans="1:50" x14ac:dyDescent="0.3">
      <c r="A146" s="51" t="s">
        <v>243</v>
      </c>
      <c r="B146" s="51">
        <v>0.56999999999999995</v>
      </c>
      <c r="C146" s="51">
        <v>0.26</v>
      </c>
    </row>
    <row r="147" spans="1:50" x14ac:dyDescent="0.3">
      <c r="A147" s="51" t="s">
        <v>244</v>
      </c>
      <c r="B147" s="51">
        <v>0.5</v>
      </c>
      <c r="C147" s="51">
        <v>0.22</v>
      </c>
    </row>
    <row r="148" spans="1:50" x14ac:dyDescent="0.3">
      <c r="A148" s="51" t="s">
        <v>245</v>
      </c>
      <c r="B148" s="51">
        <v>0.56999999999999995</v>
      </c>
      <c r="C148" s="51">
        <v>0.26</v>
      </c>
    </row>
    <row r="150" spans="1:50" s="138" customFormat="1" ht="18" x14ac:dyDescent="0.35">
      <c r="A150" s="117" t="s">
        <v>1102</v>
      </c>
      <c r="B150" s="117" t="s">
        <v>246</v>
      </c>
      <c r="C150" s="117"/>
      <c r="D150" s="117"/>
      <c r="E150" s="117"/>
      <c r="F150" s="117"/>
      <c r="G150" s="117"/>
      <c r="H150" s="117"/>
      <c r="I150" s="117"/>
      <c r="J150" s="117"/>
      <c r="K150" s="117"/>
      <c r="L150" s="117"/>
      <c r="M150" s="117"/>
      <c r="N150" s="117"/>
      <c r="O150" s="117"/>
      <c r="P150" s="117"/>
      <c r="Q150" s="117"/>
      <c r="R150" s="117"/>
      <c r="S150" s="117"/>
      <c r="T150" s="117"/>
      <c r="U150" s="117"/>
      <c r="V150" s="117"/>
      <c r="W150" s="117"/>
      <c r="X150" s="117"/>
      <c r="Y150" s="117"/>
      <c r="Z150" s="117"/>
      <c r="AA150" s="117"/>
      <c r="AB150" s="117"/>
      <c r="AC150" s="117"/>
      <c r="AD150" s="117"/>
      <c r="AE150" s="117"/>
      <c r="AF150" s="117"/>
      <c r="AG150" s="117"/>
      <c r="AH150" s="117"/>
      <c r="AI150" s="117"/>
      <c r="AJ150" s="117"/>
      <c r="AK150" s="117"/>
      <c r="AL150" s="117"/>
      <c r="AM150" s="117"/>
      <c r="AN150" s="117"/>
      <c r="AO150" s="117"/>
      <c r="AP150" s="117"/>
      <c r="AQ150" s="117"/>
      <c r="AR150" s="117"/>
      <c r="AS150" s="117"/>
      <c r="AT150" s="117"/>
      <c r="AU150" s="117"/>
      <c r="AV150" s="117"/>
      <c r="AW150" s="117"/>
      <c r="AX150" s="117"/>
    </row>
    <row r="151" spans="1:50" s="159" customFormat="1" x14ac:dyDescent="0.3">
      <c r="A151" s="52" t="s">
        <v>39</v>
      </c>
      <c r="B151" s="52" t="s">
        <v>247</v>
      </c>
      <c r="C151" s="52" t="s">
        <v>248</v>
      </c>
      <c r="D151" s="52" t="s">
        <v>249</v>
      </c>
      <c r="E151" s="52" t="s">
        <v>250</v>
      </c>
    </row>
    <row r="152" spans="1:50" s="234" customFormat="1" x14ac:dyDescent="0.3">
      <c r="A152" s="53"/>
      <c r="B152" s="53" t="s">
        <v>251</v>
      </c>
      <c r="C152" s="53" t="s">
        <v>252</v>
      </c>
      <c r="D152" s="53" t="s">
        <v>252</v>
      </c>
      <c r="E152" s="53"/>
    </row>
    <row r="153" spans="1:50" x14ac:dyDescent="0.3">
      <c r="A153" s="51" t="s">
        <v>253</v>
      </c>
      <c r="B153" s="51">
        <v>0.34300000000000003</v>
      </c>
      <c r="C153" s="51">
        <v>1.9E-2</v>
      </c>
      <c r="D153" s="51">
        <v>1.0999999999999999E-2</v>
      </c>
      <c r="E153" s="51" t="s">
        <v>254</v>
      </c>
    </row>
    <row r="154" spans="1:50" x14ac:dyDescent="0.3">
      <c r="A154" s="51" t="s">
        <v>255</v>
      </c>
      <c r="B154" s="51">
        <v>0.47199999999999998</v>
      </c>
      <c r="C154" s="51">
        <v>1.9E-2</v>
      </c>
      <c r="D154" s="51">
        <v>1.7999999999999999E-2</v>
      </c>
      <c r="E154" s="51" t="s">
        <v>254</v>
      </c>
    </row>
    <row r="155" spans="1:50" x14ac:dyDescent="0.3">
      <c r="A155" s="51" t="s">
        <v>158</v>
      </c>
      <c r="B155" s="51">
        <v>0.189</v>
      </c>
      <c r="C155" s="51">
        <v>7.0000000000000007E-2</v>
      </c>
      <c r="D155" s="51">
        <v>7.0000000000000001E-3</v>
      </c>
      <c r="E155" s="51" t="s">
        <v>254</v>
      </c>
    </row>
    <row r="156" spans="1:50" x14ac:dyDescent="0.3">
      <c r="A156" s="51" t="s">
        <v>256</v>
      </c>
      <c r="B156" s="51">
        <v>0.14000000000000001</v>
      </c>
      <c r="C156" s="51">
        <v>8.6999999999999994E-3</v>
      </c>
      <c r="D156" s="51">
        <v>3.0999999999999999E-3</v>
      </c>
      <c r="E156" s="51" t="s">
        <v>257</v>
      </c>
    </row>
    <row r="157" spans="1:50" x14ac:dyDescent="0.3">
      <c r="A157" s="51" t="s">
        <v>258</v>
      </c>
      <c r="B157" s="51">
        <v>0.161</v>
      </c>
      <c r="C157" s="51">
        <v>8.0999999999999996E-3</v>
      </c>
      <c r="D157" s="51">
        <v>3.2000000000000002E-3</v>
      </c>
      <c r="E157" s="51" t="s">
        <v>257</v>
      </c>
    </row>
    <row r="158" spans="1:50" x14ac:dyDescent="0.3">
      <c r="A158" s="51" t="s">
        <v>259</v>
      </c>
      <c r="B158" s="51">
        <v>0.11899999999999999</v>
      </c>
      <c r="C158" s="51">
        <v>2.5000000000000001E-3</v>
      </c>
      <c r="D158" s="51">
        <v>1.6999999999999999E-3</v>
      </c>
      <c r="E158" s="51" t="s">
        <v>257</v>
      </c>
    </row>
    <row r="159" spans="1:50" x14ac:dyDescent="0.3">
      <c r="A159" s="51" t="s">
        <v>260</v>
      </c>
      <c r="B159" s="51">
        <v>5.6000000000000001E-2</v>
      </c>
      <c r="C159" s="51">
        <v>1.2917147824303154E-3</v>
      </c>
      <c r="D159" s="51">
        <v>8.6692267277202364E-4</v>
      </c>
      <c r="E159" s="51" t="s">
        <v>257</v>
      </c>
    </row>
    <row r="160" spans="1:50" x14ac:dyDescent="0.3">
      <c r="A160" s="51" t="s">
        <v>261</v>
      </c>
      <c r="B160" s="51">
        <v>0.22500000000000001</v>
      </c>
      <c r="C160" s="51">
        <v>3.8999999999999998E-3</v>
      </c>
      <c r="D160" s="51">
        <v>7.1753814281706558E-3</v>
      </c>
      <c r="E160" s="51" t="s">
        <v>257</v>
      </c>
    </row>
    <row r="161" spans="1:50" x14ac:dyDescent="0.3">
      <c r="A161" s="51" t="s">
        <v>262</v>
      </c>
      <c r="B161" s="51">
        <v>0.13600000000000001</v>
      </c>
      <c r="C161" s="51">
        <v>5.9999999999999995E-4</v>
      </c>
      <c r="D161" s="51">
        <v>4.3E-3</v>
      </c>
      <c r="E161" s="51" t="s">
        <v>257</v>
      </c>
    </row>
    <row r="162" spans="1:50" x14ac:dyDescent="0.3">
      <c r="A162" s="51" t="s">
        <v>263</v>
      </c>
      <c r="B162" s="51">
        <v>0.16600000000000001</v>
      </c>
      <c r="C162" s="51">
        <v>5.9999999999999995E-4</v>
      </c>
      <c r="D162" s="51">
        <v>5.3E-3</v>
      </c>
      <c r="E162" s="51" t="s">
        <v>257</v>
      </c>
    </row>
    <row r="164" spans="1:50" s="138" customFormat="1" ht="18" x14ac:dyDescent="0.35">
      <c r="A164" s="117" t="s">
        <v>1103</v>
      </c>
      <c r="B164" s="117" t="s">
        <v>1223</v>
      </c>
      <c r="C164" s="117"/>
      <c r="D164" s="117"/>
      <c r="E164" s="117"/>
      <c r="F164" s="117"/>
      <c r="G164" s="117"/>
      <c r="H164" s="117"/>
      <c r="I164" s="117"/>
      <c r="J164" s="117"/>
      <c r="K164" s="117"/>
      <c r="L164" s="117"/>
      <c r="M164" s="117"/>
      <c r="N164" s="117"/>
      <c r="O164" s="117"/>
      <c r="P164" s="117"/>
      <c r="Q164" s="117"/>
      <c r="R164" s="117"/>
      <c r="S164" s="117"/>
      <c r="T164" s="117"/>
      <c r="U164" s="117"/>
      <c r="V164" s="117"/>
      <c r="W164" s="117"/>
      <c r="X164" s="117"/>
      <c r="Y164" s="117"/>
      <c r="Z164" s="117"/>
      <c r="AA164" s="117"/>
      <c r="AB164" s="117"/>
      <c r="AC164" s="117"/>
      <c r="AD164" s="117"/>
      <c r="AE164" s="117"/>
      <c r="AF164" s="117"/>
      <c r="AG164" s="117"/>
      <c r="AH164" s="117"/>
      <c r="AI164" s="117"/>
      <c r="AJ164" s="117"/>
      <c r="AK164" s="117"/>
      <c r="AL164" s="117"/>
      <c r="AM164" s="117"/>
      <c r="AN164" s="117"/>
      <c r="AO164" s="117"/>
      <c r="AP164" s="117"/>
      <c r="AQ164" s="117"/>
      <c r="AR164" s="117"/>
      <c r="AS164" s="117"/>
      <c r="AT164" s="117"/>
      <c r="AU164" s="117"/>
      <c r="AV164" s="117"/>
      <c r="AW164" s="117"/>
      <c r="AX164" s="117"/>
    </row>
    <row r="165" spans="1:50" s="159" customFormat="1" x14ac:dyDescent="0.3">
      <c r="A165" s="52" t="s">
        <v>39</v>
      </c>
      <c r="B165" s="52" t="s">
        <v>247</v>
      </c>
      <c r="C165" s="52" t="s">
        <v>248</v>
      </c>
      <c r="D165" s="52" t="s">
        <v>249</v>
      </c>
      <c r="E165" s="52" t="s">
        <v>250</v>
      </c>
    </row>
    <row r="166" spans="1:50" s="234" customFormat="1" x14ac:dyDescent="0.3">
      <c r="A166" s="53"/>
      <c r="B166" s="53" t="s">
        <v>251</v>
      </c>
      <c r="C166" s="53" t="s">
        <v>252</v>
      </c>
      <c r="D166" s="53" t="s">
        <v>252</v>
      </c>
      <c r="E166" s="53"/>
    </row>
    <row r="167" spans="1:50" x14ac:dyDescent="0.3">
      <c r="A167" s="51" t="s">
        <v>264</v>
      </c>
      <c r="B167" s="51">
        <v>1.4670000000000001</v>
      </c>
      <c r="C167" s="51">
        <v>1.4E-2</v>
      </c>
      <c r="D167" s="51">
        <v>0.01</v>
      </c>
      <c r="E167" s="51" t="s">
        <v>254</v>
      </c>
    </row>
    <row r="168" spans="1:50" x14ac:dyDescent="0.3">
      <c r="A168" s="51" t="s">
        <v>253</v>
      </c>
      <c r="B168" s="51">
        <v>0.34300000000000003</v>
      </c>
      <c r="C168" s="51">
        <v>1.9E-2</v>
      </c>
      <c r="D168" s="51">
        <v>1.0999999999999999E-2</v>
      </c>
      <c r="E168" s="51" t="s">
        <v>254</v>
      </c>
    </row>
    <row r="169" spans="1:50" x14ac:dyDescent="0.3">
      <c r="A169" s="51" t="s">
        <v>255</v>
      </c>
      <c r="B169" s="51">
        <v>0.47199999999999998</v>
      </c>
      <c r="C169" s="51">
        <v>1.9E-2</v>
      </c>
      <c r="D169" s="51">
        <v>1.7999999999999999E-2</v>
      </c>
      <c r="E169" s="51" t="s">
        <v>254</v>
      </c>
    </row>
    <row r="170" spans="1:50" x14ac:dyDescent="0.3">
      <c r="A170" s="51" t="s">
        <v>265</v>
      </c>
      <c r="B170" s="51">
        <v>0.20233797801439316</v>
      </c>
      <c r="C170" s="51">
        <v>2.0038423175478401E-3</v>
      </c>
      <c r="D170" s="51">
        <v>1.5129681927794096E-3</v>
      </c>
      <c r="E170" s="51" t="s">
        <v>266</v>
      </c>
    </row>
    <row r="171" spans="1:50" x14ac:dyDescent="0.3">
      <c r="A171" s="51" t="s">
        <v>267</v>
      </c>
      <c r="B171" s="51">
        <v>2.3E-2</v>
      </c>
      <c r="C171" s="51">
        <v>1.8E-3</v>
      </c>
      <c r="D171" s="51">
        <v>5.9999999999999995E-4</v>
      </c>
      <c r="E171" s="51" t="s">
        <v>266</v>
      </c>
    </row>
    <row r="172" spans="1:50" x14ac:dyDescent="0.3">
      <c r="A172" s="51" t="s">
        <v>268</v>
      </c>
      <c r="B172" s="51">
        <v>5.8999999999999997E-2</v>
      </c>
      <c r="C172" s="51">
        <v>5.0000000000000001E-4</v>
      </c>
      <c r="D172" s="51">
        <v>4.0000000000000001E-3</v>
      </c>
      <c r="E172" s="51" t="s">
        <v>266</v>
      </c>
    </row>
    <row r="173" spans="1:50" x14ac:dyDescent="0.3">
      <c r="A173" s="51" t="s">
        <v>269</v>
      </c>
      <c r="B173" s="51">
        <v>1.3080000000000001</v>
      </c>
      <c r="C173" s="51">
        <v>0</v>
      </c>
      <c r="D173" s="51">
        <v>4.02E-2</v>
      </c>
      <c r="E173" s="51" t="s">
        <v>266</v>
      </c>
    </row>
    <row r="175" spans="1:50" s="138" customFormat="1" ht="18" x14ac:dyDescent="0.35">
      <c r="A175" s="117" t="s">
        <v>1104</v>
      </c>
      <c r="B175" s="117" t="s">
        <v>270</v>
      </c>
      <c r="C175" s="117"/>
      <c r="D175" s="117"/>
      <c r="E175" s="117"/>
      <c r="F175" s="117"/>
      <c r="G175" s="117"/>
      <c r="H175" s="117"/>
      <c r="I175" s="117"/>
      <c r="J175" s="117"/>
      <c r="K175" s="117"/>
      <c r="L175" s="117"/>
      <c r="M175" s="117"/>
      <c r="N175" s="117"/>
      <c r="O175" s="117"/>
      <c r="P175" s="117"/>
      <c r="Q175" s="117"/>
      <c r="R175" s="117"/>
      <c r="S175" s="117"/>
      <c r="T175" s="117"/>
      <c r="U175" s="117"/>
      <c r="V175" s="117"/>
      <c r="W175" s="117"/>
      <c r="X175" s="117"/>
      <c r="Y175" s="117"/>
      <c r="Z175" s="117"/>
      <c r="AA175" s="117"/>
      <c r="AB175" s="117"/>
      <c r="AC175" s="117"/>
      <c r="AD175" s="117"/>
      <c r="AE175" s="117"/>
      <c r="AF175" s="117"/>
      <c r="AG175" s="117"/>
      <c r="AH175" s="117"/>
      <c r="AI175" s="117"/>
      <c r="AJ175" s="117"/>
      <c r="AK175" s="117"/>
      <c r="AL175" s="117"/>
      <c r="AM175" s="117"/>
      <c r="AN175" s="117"/>
      <c r="AO175" s="117"/>
      <c r="AP175" s="117"/>
      <c r="AQ175" s="117"/>
      <c r="AR175" s="117"/>
      <c r="AS175" s="117"/>
      <c r="AT175" s="117"/>
      <c r="AU175" s="117"/>
      <c r="AV175" s="117"/>
      <c r="AW175" s="117"/>
      <c r="AX175" s="117"/>
    </row>
    <row r="176" spans="1:50" s="159" customFormat="1" x14ac:dyDescent="0.3">
      <c r="A176" s="52" t="s">
        <v>27</v>
      </c>
      <c r="B176" s="52" t="s">
        <v>271</v>
      </c>
      <c r="C176" s="52" t="s">
        <v>272</v>
      </c>
    </row>
    <row r="177" spans="1:50" x14ac:dyDescent="0.3">
      <c r="A177" s="51" t="s">
        <v>273</v>
      </c>
      <c r="B177" s="51">
        <v>1.21</v>
      </c>
      <c r="C177" s="51">
        <v>1.26</v>
      </c>
    </row>
    <row r="178" spans="1:50" x14ac:dyDescent="0.3">
      <c r="A178" s="51" t="s">
        <v>274</v>
      </c>
      <c r="B178" s="51">
        <v>1.19</v>
      </c>
      <c r="C178" s="51">
        <v>1.25</v>
      </c>
    </row>
    <row r="179" spans="1:50" x14ac:dyDescent="0.3">
      <c r="A179" s="51" t="s">
        <v>275</v>
      </c>
      <c r="B179" s="51">
        <v>0.87</v>
      </c>
      <c r="C179" s="51">
        <v>1.06</v>
      </c>
    </row>
    <row r="180" spans="1:50" x14ac:dyDescent="0.3">
      <c r="A180" s="51" t="s">
        <v>276</v>
      </c>
      <c r="B180" s="51">
        <v>1.21</v>
      </c>
      <c r="C180" s="51">
        <v>1.25</v>
      </c>
    </row>
    <row r="181" spans="1:50" x14ac:dyDescent="0.3">
      <c r="A181" s="51" t="s">
        <v>277</v>
      </c>
      <c r="B181" s="51">
        <v>1.02</v>
      </c>
      <c r="C181" s="51">
        <v>1.07</v>
      </c>
    </row>
    <row r="182" spans="1:50" x14ac:dyDescent="0.3">
      <c r="A182" s="51" t="s">
        <v>278</v>
      </c>
      <c r="B182" s="51">
        <v>1.19</v>
      </c>
      <c r="C182" s="51">
        <v>1.44</v>
      </c>
    </row>
    <row r="183" spans="1:50" x14ac:dyDescent="0.3">
      <c r="A183" s="51" t="s">
        <v>279</v>
      </c>
      <c r="B183" s="51">
        <v>1.03</v>
      </c>
      <c r="C183" s="51">
        <v>1.1000000000000001</v>
      </c>
    </row>
    <row r="185" spans="1:50" s="138" customFormat="1" ht="18" x14ac:dyDescent="0.35">
      <c r="A185" s="117" t="s">
        <v>1105</v>
      </c>
      <c r="B185" s="117" t="s">
        <v>280</v>
      </c>
      <c r="C185" s="117"/>
      <c r="D185" s="117"/>
      <c r="E185" s="117"/>
      <c r="F185" s="117"/>
      <c r="G185" s="117"/>
      <c r="H185" s="117"/>
      <c r="I185" s="117"/>
      <c r="J185" s="117"/>
      <c r="K185" s="117"/>
      <c r="L185" s="117"/>
      <c r="M185" s="117"/>
      <c r="N185" s="117"/>
      <c r="O185" s="117"/>
      <c r="P185" s="117"/>
      <c r="Q185" s="117"/>
      <c r="R185" s="117"/>
      <c r="S185" s="117"/>
      <c r="T185" s="117"/>
      <c r="U185" s="117"/>
      <c r="V185" s="117"/>
      <c r="W185" s="117"/>
      <c r="X185" s="117"/>
      <c r="Y185" s="117"/>
      <c r="Z185" s="117"/>
      <c r="AA185" s="117"/>
      <c r="AB185" s="117"/>
      <c r="AC185" s="117"/>
      <c r="AD185" s="117"/>
      <c r="AE185" s="117"/>
      <c r="AF185" s="117"/>
      <c r="AG185" s="117"/>
      <c r="AH185" s="117"/>
      <c r="AI185" s="117"/>
      <c r="AJ185" s="117"/>
      <c r="AK185" s="117"/>
      <c r="AL185" s="117"/>
      <c r="AM185" s="117"/>
      <c r="AN185" s="117"/>
      <c r="AO185" s="117"/>
      <c r="AP185" s="117"/>
      <c r="AQ185" s="117"/>
      <c r="AR185" s="117"/>
      <c r="AS185" s="117"/>
      <c r="AT185" s="117"/>
      <c r="AU185" s="117"/>
      <c r="AV185" s="117"/>
      <c r="AW185" s="117"/>
      <c r="AX185" s="117"/>
    </row>
    <row r="186" spans="1:50" s="159" customFormat="1" x14ac:dyDescent="0.3">
      <c r="A186" s="52"/>
      <c r="B186" s="52" t="s">
        <v>221</v>
      </c>
      <c r="C186" s="52" t="s">
        <v>222</v>
      </c>
    </row>
    <row r="187" spans="1:50" s="234" customFormat="1" x14ac:dyDescent="0.3">
      <c r="A187" s="53"/>
      <c r="B187" s="53" t="s">
        <v>170</v>
      </c>
      <c r="C187" s="53" t="s">
        <v>170</v>
      </c>
    </row>
    <row r="188" spans="1:50" x14ac:dyDescent="0.3">
      <c r="A188" s="51" t="s">
        <v>281</v>
      </c>
      <c r="B188" s="51">
        <v>5.1000000000000004E-3</v>
      </c>
      <c r="C188" s="51">
        <v>4.7999999999999996E-3</v>
      </c>
    </row>
    <row r="189" spans="1:50" x14ac:dyDescent="0.3">
      <c r="A189" s="51" t="s">
        <v>67</v>
      </c>
      <c r="B189" s="60" t="s">
        <v>282</v>
      </c>
      <c r="C189" s="51"/>
    </row>
  </sheetData>
  <hyperlinks>
    <hyperlink ref="B73" r:id="rId1" xr:uid="{00000000-0004-0000-0400-000000000000}"/>
    <hyperlink ref="B96" r:id="rId2" xr:uid="{00000000-0004-0000-0400-000001000000}"/>
    <hyperlink ref="B88" r:id="rId3" xr:uid="{00000000-0004-0000-0400-000002000000}"/>
    <hyperlink ref="B189" r:id="rId4" xr:uid="{D7618092-DB25-42A4-9DC4-55A330257983}"/>
  </hyperlinks>
  <pageMargins left="0.7" right="0.7" top="0.75" bottom="0.75" header="0.3" footer="0.3"/>
  <pageSetup orientation="portrait" horizontalDpi="300" verticalDpi="300" r:id="rId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8">
    <tabColor theme="9" tint="0.39997558519241921"/>
  </sheetPr>
  <dimension ref="A1:N34"/>
  <sheetViews>
    <sheetView topLeftCell="A19" workbookViewId="0">
      <selection activeCell="G10" sqref="G10"/>
    </sheetView>
  </sheetViews>
  <sheetFormatPr defaultRowHeight="14.4" x14ac:dyDescent="0.3"/>
  <cols>
    <col min="1" max="1" width="20.109375" style="133" customWidth="1"/>
    <col min="2" max="16384" width="8.88671875" style="133"/>
  </cols>
  <sheetData>
    <row r="1" spans="1:14" s="137" customFormat="1" ht="25.8" x14ac:dyDescent="0.5">
      <c r="A1" s="118" t="s">
        <v>283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</row>
    <row r="3" spans="1:14" s="138" customFormat="1" ht="18" x14ac:dyDescent="0.35">
      <c r="A3" s="117" t="s">
        <v>1106</v>
      </c>
      <c r="B3" s="117" t="s">
        <v>284</v>
      </c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</row>
    <row r="4" spans="1:14" x14ac:dyDescent="0.3">
      <c r="A4" s="148" t="s">
        <v>0</v>
      </c>
      <c r="B4" s="133" t="s">
        <v>285</v>
      </c>
    </row>
    <row r="5" spans="1:14" x14ac:dyDescent="0.3">
      <c r="A5" s="1" t="s">
        <v>286</v>
      </c>
      <c r="B5" s="21" t="s">
        <v>287</v>
      </c>
      <c r="C5" s="25" t="s">
        <v>288</v>
      </c>
      <c r="D5" s="21" t="s">
        <v>289</v>
      </c>
    </row>
    <row r="6" spans="1:14" x14ac:dyDescent="0.3">
      <c r="A6"/>
      <c r="B6" t="s">
        <v>290</v>
      </c>
      <c r="C6"/>
      <c r="D6"/>
    </row>
    <row r="7" spans="1:14" x14ac:dyDescent="0.3">
      <c r="A7" t="s">
        <v>291</v>
      </c>
      <c r="B7" s="44">
        <v>4.2999999999999997E-2</v>
      </c>
      <c r="C7" s="160">
        <v>1.2200000000000001E-2</v>
      </c>
      <c r="D7">
        <f>B7*C7</f>
        <v>5.2459999999999996E-4</v>
      </c>
    </row>
    <row r="8" spans="1:14" x14ac:dyDescent="0.3">
      <c r="A8" t="s">
        <v>292</v>
      </c>
      <c r="B8" s="44">
        <v>0.20300000000000001</v>
      </c>
      <c r="C8" s="160">
        <v>0.1207</v>
      </c>
      <c r="D8">
        <f t="shared" ref="D8:D15" si="0">B8*C8</f>
        <v>2.4502100000000002E-2</v>
      </c>
    </row>
    <row r="9" spans="1:14" x14ac:dyDescent="0.3">
      <c r="A9" t="s">
        <v>293</v>
      </c>
      <c r="B9" s="44">
        <v>0.12</v>
      </c>
      <c r="C9" s="160">
        <v>8.4199999999999997E-2</v>
      </c>
      <c r="D9">
        <f t="shared" si="0"/>
        <v>1.0104E-2</v>
      </c>
    </row>
    <row r="10" spans="1:14" x14ac:dyDescent="0.3">
      <c r="A10" t="s">
        <v>294</v>
      </c>
      <c r="B10" s="44">
        <v>4.9000000000000002E-2</v>
      </c>
      <c r="C10" s="160"/>
      <c r="D10">
        <f t="shared" si="0"/>
        <v>0</v>
      </c>
    </row>
    <row r="11" spans="1:14" x14ac:dyDescent="0.3">
      <c r="A11" t="s">
        <v>295</v>
      </c>
      <c r="B11" s="44">
        <v>7.8E-2</v>
      </c>
      <c r="C11" s="160">
        <v>0.13569999999999999</v>
      </c>
      <c r="D11">
        <f t="shared" si="0"/>
        <v>1.05846E-2</v>
      </c>
    </row>
    <row r="12" spans="1:14" x14ac:dyDescent="0.3">
      <c r="A12" t="s">
        <v>296</v>
      </c>
      <c r="B12" s="44">
        <v>3.7999999999999999E-2</v>
      </c>
      <c r="C12" s="160">
        <f>0.05/2</f>
        <v>2.5000000000000001E-2</v>
      </c>
      <c r="D12">
        <f t="shared" si="0"/>
        <v>9.5E-4</v>
      </c>
    </row>
    <row r="13" spans="1:14" x14ac:dyDescent="0.3">
      <c r="A13" t="s">
        <v>297</v>
      </c>
      <c r="B13" s="44">
        <v>0.03</v>
      </c>
      <c r="C13" s="160">
        <f>C12</f>
        <v>2.5000000000000001E-2</v>
      </c>
      <c r="D13">
        <f t="shared" si="0"/>
        <v>7.5000000000000002E-4</v>
      </c>
    </row>
    <row r="14" spans="1:14" x14ac:dyDescent="0.3">
      <c r="A14" t="s">
        <v>298</v>
      </c>
      <c r="B14" s="44">
        <v>6.2E-2</v>
      </c>
      <c r="C14" s="160">
        <v>5.1900000000000002E-2</v>
      </c>
      <c r="D14">
        <f t="shared" si="0"/>
        <v>3.2178000000000003E-3</v>
      </c>
    </row>
    <row r="15" spans="1:14" x14ac:dyDescent="0.3">
      <c r="A15" t="s">
        <v>299</v>
      </c>
      <c r="B15" s="44">
        <v>6.2E-2</v>
      </c>
      <c r="C15" s="160"/>
      <c r="D15">
        <f t="shared" si="0"/>
        <v>0</v>
      </c>
    </row>
    <row r="16" spans="1:14" x14ac:dyDescent="0.3">
      <c r="A16" s="1" t="s">
        <v>85</v>
      </c>
      <c r="B16"/>
      <c r="C16" s="1">
        <f>SUM(C7:C15)</f>
        <v>0.45470000000000005</v>
      </c>
      <c r="D16" s="1">
        <f>SUM(D7:D15)</f>
        <v>5.06331E-2</v>
      </c>
    </row>
    <row r="18" spans="1:14" x14ac:dyDescent="0.3">
      <c r="A18" s="133" t="s">
        <v>300</v>
      </c>
    </row>
    <row r="19" spans="1:14" x14ac:dyDescent="0.3">
      <c r="A19" s="133" t="s">
        <v>301</v>
      </c>
      <c r="B19" s="133" t="s">
        <v>302</v>
      </c>
    </row>
    <row r="20" spans="1:14" x14ac:dyDescent="0.3">
      <c r="A20" s="133" t="s">
        <v>303</v>
      </c>
      <c r="B20" s="139" t="s">
        <v>304</v>
      </c>
    </row>
    <row r="22" spans="1:14" s="138" customFormat="1" ht="18" x14ac:dyDescent="0.35">
      <c r="A22" s="117" t="s">
        <v>1107</v>
      </c>
      <c r="B22" s="117" t="s">
        <v>305</v>
      </c>
      <c r="C22" s="117"/>
      <c r="D22" s="117"/>
      <c r="E22" s="117"/>
      <c r="F22" s="117"/>
      <c r="G22" s="117"/>
      <c r="H22" s="117"/>
      <c r="I22" s="117"/>
      <c r="J22" s="117"/>
      <c r="K22" s="117"/>
      <c r="L22" s="117"/>
      <c r="M22" s="117"/>
      <c r="N22" s="117"/>
    </row>
    <row r="23" spans="1:14" x14ac:dyDescent="0.3">
      <c r="A23" s="148"/>
    </row>
    <row r="24" spans="1:14" x14ac:dyDescent="0.3">
      <c r="A24" s="39" t="s">
        <v>307</v>
      </c>
      <c r="B24" s="161">
        <v>0.75</v>
      </c>
      <c r="C24"/>
    </row>
    <row r="26" spans="1:14" s="138" customFormat="1" ht="18" x14ac:dyDescent="0.35">
      <c r="A26" s="117" t="s">
        <v>1108</v>
      </c>
      <c r="B26" s="117" t="s">
        <v>48</v>
      </c>
      <c r="C26" s="117"/>
      <c r="D26" s="117"/>
      <c r="E26" s="117"/>
      <c r="F26" s="117"/>
      <c r="G26" s="117"/>
      <c r="H26" s="117"/>
      <c r="I26" s="117"/>
      <c r="J26" s="117"/>
      <c r="K26" s="117"/>
      <c r="L26" s="117"/>
      <c r="M26" s="117"/>
      <c r="N26" s="117"/>
    </row>
    <row r="27" spans="1:14" x14ac:dyDescent="0.3">
      <c r="A27" t="s">
        <v>308</v>
      </c>
      <c r="B27" t="s">
        <v>309</v>
      </c>
    </row>
    <row r="28" spans="1:14" x14ac:dyDescent="0.3">
      <c r="A28" t="s">
        <v>36</v>
      </c>
      <c r="B28">
        <v>1.6400000000000001E-2</v>
      </c>
    </row>
    <row r="29" spans="1:14" x14ac:dyDescent="0.3">
      <c r="A29" t="s">
        <v>310</v>
      </c>
      <c r="B29">
        <v>1.0999999999999999E-2</v>
      </c>
    </row>
    <row r="31" spans="1:14" s="138" customFormat="1" ht="18" x14ac:dyDescent="0.35">
      <c r="A31" s="117" t="s">
        <v>1109</v>
      </c>
      <c r="B31" s="117" t="s">
        <v>837</v>
      </c>
      <c r="C31" s="117"/>
      <c r="D31" s="117"/>
      <c r="E31" s="117"/>
      <c r="F31" s="117"/>
      <c r="G31" s="117"/>
      <c r="H31" s="117"/>
      <c r="I31" s="117"/>
      <c r="J31" s="117"/>
      <c r="K31" s="117"/>
      <c r="L31" s="117"/>
      <c r="M31" s="117"/>
      <c r="N31" s="117"/>
    </row>
    <row r="32" spans="1:14" x14ac:dyDescent="0.3">
      <c r="A32" t="s">
        <v>847</v>
      </c>
      <c r="B32"/>
      <c r="C32"/>
      <c r="D32"/>
    </row>
    <row r="33" spans="1:4" x14ac:dyDescent="0.3">
      <c r="A33" t="s">
        <v>221</v>
      </c>
      <c r="B33">
        <f>5.56*10^-4</f>
        <v>5.5599999999999996E-4</v>
      </c>
      <c r="C33" t="s">
        <v>848</v>
      </c>
      <c r="D33"/>
    </row>
    <row r="34" spans="1:4" x14ac:dyDescent="0.3">
      <c r="A34" t="s">
        <v>222</v>
      </c>
      <c r="B34">
        <f>2.04*10^-4</f>
        <v>2.0400000000000003E-4</v>
      </c>
      <c r="C34" t="s">
        <v>849</v>
      </c>
      <c r="D34"/>
    </row>
  </sheetData>
  <hyperlinks>
    <hyperlink ref="B20" r:id="rId1" xr:uid="{00000000-0004-0000-0500-000000000000}"/>
  </hyperlinks>
  <pageMargins left="0.7" right="0.7" top="0.75" bottom="0.75" header="0.3" footer="0.3"/>
  <pageSetup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9">
    <tabColor theme="0" tint="-0.14999847407452621"/>
  </sheetPr>
  <dimension ref="A1:E24"/>
  <sheetViews>
    <sheetView workbookViewId="0">
      <selection activeCell="D20" sqref="D20"/>
    </sheetView>
  </sheetViews>
  <sheetFormatPr defaultRowHeight="14.4" x14ac:dyDescent="0.3"/>
  <cols>
    <col min="1" max="1" width="12.5546875" style="133" customWidth="1"/>
    <col min="2" max="2" width="9.109375" style="133" bestFit="1" customWidth="1"/>
    <col min="3" max="3" width="29.6640625" style="133" bestFit="1" customWidth="1"/>
    <col min="4" max="4" width="58.109375" style="133" bestFit="1" customWidth="1"/>
    <col min="5" max="16384" width="8.88671875" style="133"/>
  </cols>
  <sheetData>
    <row r="1" spans="1:5" s="137" customFormat="1" ht="25.8" x14ac:dyDescent="0.5">
      <c r="A1" s="118" t="s">
        <v>311</v>
      </c>
      <c r="B1" s="118"/>
      <c r="C1" s="118"/>
      <c r="D1" s="118"/>
      <c r="E1" s="118"/>
    </row>
    <row r="3" spans="1:5" s="138" customFormat="1" ht="18" x14ac:dyDescent="0.35">
      <c r="A3" s="117" t="s">
        <v>1110</v>
      </c>
      <c r="B3" s="117" t="s">
        <v>312</v>
      </c>
      <c r="C3" s="117"/>
      <c r="D3" s="117"/>
      <c r="E3" s="117"/>
    </row>
    <row r="5" spans="1:5" x14ac:dyDescent="0.3">
      <c r="A5" t="s">
        <v>313</v>
      </c>
      <c r="B5">
        <v>1.25</v>
      </c>
      <c r="C5"/>
      <c r="D5" t="s">
        <v>314</v>
      </c>
      <c r="E5" t="s">
        <v>315</v>
      </c>
    </row>
    <row r="6" spans="1:5" x14ac:dyDescent="0.3">
      <c r="A6" t="s">
        <v>316</v>
      </c>
      <c r="B6">
        <v>7</v>
      </c>
      <c r="C6" t="s">
        <v>317</v>
      </c>
      <c r="D6" t="s">
        <v>318</v>
      </c>
    </row>
    <row r="8" spans="1:5" s="138" customFormat="1" ht="18" x14ac:dyDescent="0.35">
      <c r="A8" s="117" t="s">
        <v>1111</v>
      </c>
      <c r="B8" s="117" t="s">
        <v>319</v>
      </c>
      <c r="C8" s="117"/>
      <c r="D8" s="117"/>
      <c r="E8" s="117"/>
    </row>
    <row r="10" spans="1:5" x14ac:dyDescent="0.3">
      <c r="A10" t="s">
        <v>320</v>
      </c>
      <c r="B10">
        <v>2.5999999999999999E-2</v>
      </c>
      <c r="C10" t="s">
        <v>321</v>
      </c>
      <c r="D10" t="s">
        <v>322</v>
      </c>
    </row>
    <row r="11" spans="1:5" x14ac:dyDescent="0.3">
      <c r="A11" t="s">
        <v>323</v>
      </c>
      <c r="B11">
        <v>0.05</v>
      </c>
      <c r="C11" t="s">
        <v>324</v>
      </c>
      <c r="D11" t="s">
        <v>325</v>
      </c>
    </row>
    <row r="12" spans="1:5" x14ac:dyDescent="0.3">
      <c r="A12" t="s">
        <v>326</v>
      </c>
      <c r="B12">
        <v>0.09</v>
      </c>
      <c r="C12" t="s">
        <v>327</v>
      </c>
      <c r="D12" t="s">
        <v>328</v>
      </c>
    </row>
    <row r="13" spans="1:5" x14ac:dyDescent="0.3">
      <c r="A13" t="s">
        <v>329</v>
      </c>
      <c r="B13">
        <v>5.0000000000000001E-3</v>
      </c>
      <c r="C13" t="s">
        <v>330</v>
      </c>
      <c r="D13" t="s">
        <v>331</v>
      </c>
    </row>
    <row r="14" spans="1:5" x14ac:dyDescent="0.3">
      <c r="A14" t="s">
        <v>332</v>
      </c>
      <c r="B14">
        <f>44/28</f>
        <v>1.5714285714285714</v>
      </c>
      <c r="C14" t="s">
        <v>333</v>
      </c>
      <c r="D14" t="s">
        <v>334</v>
      </c>
    </row>
    <row r="15" spans="1:5" x14ac:dyDescent="0.3">
      <c r="A15" t="s">
        <v>335</v>
      </c>
      <c r="B15">
        <v>0.7</v>
      </c>
      <c r="C15"/>
      <c r="D15" t="s">
        <v>336</v>
      </c>
    </row>
    <row r="16" spans="1:5" x14ac:dyDescent="0.3">
      <c r="A16"/>
      <c r="B16">
        <v>365.25</v>
      </c>
      <c r="C16" t="s">
        <v>337</v>
      </c>
      <c r="D16"/>
    </row>
    <row r="18" spans="1:5" s="138" customFormat="1" ht="18" x14ac:dyDescent="0.35">
      <c r="A18" s="117" t="s">
        <v>1112</v>
      </c>
      <c r="B18" s="117" t="s">
        <v>338</v>
      </c>
      <c r="C18" s="117"/>
      <c r="D18" s="117"/>
      <c r="E18" s="117"/>
    </row>
    <row r="19" spans="1:5" x14ac:dyDescent="0.3">
      <c r="A19" t="s">
        <v>339</v>
      </c>
      <c r="B19"/>
    </row>
    <row r="20" spans="1:5" x14ac:dyDescent="0.3">
      <c r="A20" t="s">
        <v>340</v>
      </c>
      <c r="B20"/>
    </row>
    <row r="21" spans="1:5" x14ac:dyDescent="0.3">
      <c r="A21" t="s">
        <v>341</v>
      </c>
      <c r="B21"/>
    </row>
    <row r="22" spans="1:5" x14ac:dyDescent="0.3">
      <c r="A22" t="s">
        <v>342</v>
      </c>
      <c r="B22"/>
    </row>
    <row r="23" spans="1:5" x14ac:dyDescent="0.3">
      <c r="A23" t="s">
        <v>320</v>
      </c>
      <c r="B23" s="30">
        <v>2075</v>
      </c>
      <c r="C23" s="133" t="s">
        <v>343</v>
      </c>
    </row>
    <row r="24" spans="1:5" x14ac:dyDescent="0.3">
      <c r="A24" s="140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10">
    <tabColor theme="4" tint="0.39997558519241921"/>
  </sheetPr>
  <dimension ref="A1:AQ98"/>
  <sheetViews>
    <sheetView topLeftCell="A31" workbookViewId="0">
      <selection activeCell="A3" sqref="A3"/>
    </sheetView>
  </sheetViews>
  <sheetFormatPr defaultRowHeight="14.4" x14ac:dyDescent="0.3"/>
  <cols>
    <col min="1" max="1" width="22" style="133" customWidth="1"/>
    <col min="2" max="2" width="14.33203125" style="133" customWidth="1"/>
    <col min="3" max="3" width="12" style="133" bestFit="1" customWidth="1"/>
    <col min="4" max="4" width="12.44140625" style="133" bestFit="1" customWidth="1"/>
    <col min="5" max="30" width="10.88671875" style="133" bestFit="1" customWidth="1"/>
    <col min="31" max="16384" width="8.88671875" style="133"/>
  </cols>
  <sheetData>
    <row r="1" spans="1:43" s="137" customFormat="1" ht="25.8" x14ac:dyDescent="0.5">
      <c r="A1" s="118" t="s">
        <v>344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118"/>
      <c r="S1" s="118"/>
      <c r="T1" s="118"/>
      <c r="U1" s="118"/>
      <c r="V1" s="118"/>
      <c r="W1" s="118"/>
      <c r="X1" s="118"/>
      <c r="Y1" s="118"/>
      <c r="Z1" s="118"/>
      <c r="AA1" s="118"/>
      <c r="AB1" s="118"/>
      <c r="AC1" s="118"/>
      <c r="AD1" s="118"/>
      <c r="AE1" s="118"/>
      <c r="AF1" s="118"/>
      <c r="AG1" s="118"/>
      <c r="AH1" s="118"/>
      <c r="AI1" s="118"/>
      <c r="AJ1" s="118"/>
      <c r="AK1" s="118"/>
      <c r="AL1" s="118"/>
      <c r="AM1" s="118"/>
      <c r="AN1" s="118"/>
      <c r="AO1" s="118"/>
      <c r="AP1" s="118"/>
      <c r="AQ1" s="118"/>
    </row>
    <row r="3" spans="1:43" x14ac:dyDescent="0.3">
      <c r="A3" s="140"/>
    </row>
    <row r="5" spans="1:43" s="138" customFormat="1" ht="18" x14ac:dyDescent="0.35">
      <c r="A5" s="117" t="s">
        <v>1082</v>
      </c>
      <c r="B5" s="117" t="s">
        <v>345</v>
      </c>
      <c r="C5" s="117"/>
      <c r="D5" s="117"/>
      <c r="E5" s="117"/>
      <c r="F5" s="117"/>
      <c r="G5" s="117"/>
      <c r="H5" s="117"/>
      <c r="I5" s="117"/>
      <c r="J5" s="117"/>
      <c r="K5" s="117"/>
      <c r="L5" s="117"/>
      <c r="M5" s="117"/>
      <c r="N5" s="117"/>
      <c r="O5" s="117"/>
      <c r="P5" s="117"/>
      <c r="Q5" s="117"/>
      <c r="R5" s="117"/>
      <c r="S5" s="117"/>
      <c r="T5" s="117"/>
      <c r="U5" s="117"/>
      <c r="V5" s="117"/>
      <c r="W5" s="117"/>
      <c r="X5" s="117"/>
      <c r="Y5" s="117"/>
      <c r="Z5" s="117"/>
      <c r="AA5" s="117"/>
      <c r="AB5" s="117"/>
      <c r="AC5" s="117"/>
      <c r="AD5" s="117"/>
      <c r="AE5" s="117"/>
      <c r="AF5" s="117"/>
      <c r="AG5" s="117"/>
      <c r="AH5" s="117"/>
      <c r="AI5" s="117"/>
      <c r="AJ5" s="117"/>
      <c r="AK5" s="117"/>
      <c r="AL5" s="117"/>
      <c r="AM5" s="117"/>
      <c r="AN5" s="117"/>
      <c r="AO5" s="117"/>
      <c r="AP5" s="117"/>
      <c r="AQ5" s="117"/>
    </row>
    <row r="6" spans="1:43" x14ac:dyDescent="0.3">
      <c r="A6"/>
      <c r="B6" s="1" t="s">
        <v>346</v>
      </c>
      <c r="C6" s="1" t="s">
        <v>347</v>
      </c>
      <c r="D6" s="1" t="s">
        <v>348</v>
      </c>
      <c r="E6" s="1" t="s">
        <v>998</v>
      </c>
    </row>
    <row r="7" spans="1:43" x14ac:dyDescent="0.3">
      <c r="A7" s="16" t="s">
        <v>58</v>
      </c>
      <c r="B7" s="28">
        <f>B23*$B$44</f>
        <v>327772820.71999997</v>
      </c>
      <c r="C7" s="28">
        <f>C23*$B$44</f>
        <v>38408227.299999997</v>
      </c>
      <c r="D7" s="30">
        <f>HLOOKUP(ReportingYear,60:62,3)*(HLOOKUP(ReportingYear,66:67,2))</f>
        <v>1969.0086250116053</v>
      </c>
      <c r="E7"/>
    </row>
    <row r="8" spans="1:43" ht="28.8" x14ac:dyDescent="0.3">
      <c r="A8" s="16" t="s">
        <v>349</v>
      </c>
      <c r="B8" s="28">
        <f>B10-B9</f>
        <v>400959510.51999998</v>
      </c>
      <c r="C8" s="28">
        <f>SUM(C31,C39)*$B$45</f>
        <v>14383566.960000001</v>
      </c>
      <c r="D8"/>
      <c r="E8"/>
    </row>
    <row r="9" spans="1:43" x14ac:dyDescent="0.3">
      <c r="A9" s="16" t="s">
        <v>350</v>
      </c>
      <c r="B9" s="30">
        <f>HLOOKUP(ReportingYear,$70:$72,2)</f>
        <v>530861576</v>
      </c>
      <c r="C9" s="30">
        <f>HLOOKUP(ReportingYear,$70:$72,3)</f>
        <v>49575879</v>
      </c>
      <c r="D9" s="30">
        <f>HLOOKUP(ReportingYear,70:74,4)/CCF_to_gal</f>
        <v>184478.60962566844</v>
      </c>
      <c r="E9" s="30">
        <f>HLOOKUP(ReportingYear,70:74,5)</f>
        <v>20111</v>
      </c>
    </row>
    <row r="10" spans="1:43" ht="28.8" x14ac:dyDescent="0.3">
      <c r="A10" s="16" t="s">
        <v>351</v>
      </c>
      <c r="B10" s="28">
        <f>(SUM(B31,B39)*$B$45)</f>
        <v>931821086.51999998</v>
      </c>
      <c r="C10" s="28">
        <f>SUM(C8:C9)</f>
        <v>63959445.960000001</v>
      </c>
      <c r="D10"/>
      <c r="E10"/>
    </row>
    <row r="11" spans="1:43" x14ac:dyDescent="0.3">
      <c r="A11" s="97" t="s">
        <v>59</v>
      </c>
      <c r="B11" s="28">
        <f>(B31*B45)-B9</f>
        <v>371304895.72000003</v>
      </c>
      <c r="C11" s="28">
        <f>C31*B45</f>
        <v>14343580.32</v>
      </c>
      <c r="D11"/>
      <c r="E11"/>
    </row>
    <row r="12" spans="1:43" x14ac:dyDescent="0.3">
      <c r="A12" s="97" t="s">
        <v>358</v>
      </c>
      <c r="B12" s="28">
        <f>B39*B45</f>
        <v>29654614.800000001</v>
      </c>
      <c r="C12" s="28">
        <f>C39*B45</f>
        <v>39986.639999999999</v>
      </c>
      <c r="D12"/>
      <c r="E12"/>
    </row>
    <row r="14" spans="1:43" s="138" customFormat="1" ht="18" x14ac:dyDescent="0.35">
      <c r="A14" s="117" t="s">
        <v>1113</v>
      </c>
      <c r="B14" s="117" t="s">
        <v>352</v>
      </c>
      <c r="C14" s="117"/>
      <c r="D14" s="117"/>
      <c r="E14" s="117"/>
      <c r="F14" s="117"/>
      <c r="G14" s="117"/>
      <c r="H14" s="117"/>
      <c r="I14" s="117"/>
      <c r="J14" s="117"/>
      <c r="K14" s="117"/>
      <c r="L14" s="117"/>
      <c r="M14" s="117"/>
      <c r="N14" s="117"/>
      <c r="O14" s="117"/>
      <c r="P14" s="117"/>
      <c r="Q14" s="117"/>
      <c r="R14" s="117"/>
      <c r="S14" s="117"/>
      <c r="T14" s="117"/>
      <c r="U14" s="117"/>
      <c r="V14" s="117"/>
      <c r="W14" s="117"/>
      <c r="X14" s="117"/>
      <c r="Y14" s="117"/>
      <c r="Z14" s="117"/>
      <c r="AA14" s="117"/>
      <c r="AB14" s="117"/>
      <c r="AC14" s="117"/>
      <c r="AD14" s="117"/>
      <c r="AE14" s="117"/>
      <c r="AF14" s="117"/>
      <c r="AG14" s="117"/>
      <c r="AH14" s="117"/>
      <c r="AI14" s="117"/>
      <c r="AJ14" s="117"/>
      <c r="AK14" s="117"/>
      <c r="AL14" s="117"/>
      <c r="AM14" s="117"/>
      <c r="AN14" s="117"/>
      <c r="AO14" s="117"/>
      <c r="AP14" s="117"/>
      <c r="AQ14" s="117"/>
    </row>
    <row r="15" spans="1:43" ht="15" thickBot="1" x14ac:dyDescent="0.35">
      <c r="A15" s="148" t="s">
        <v>306</v>
      </c>
      <c r="B15" s="133" t="s">
        <v>353</v>
      </c>
    </row>
    <row r="16" spans="1:43" ht="15" thickBot="1" x14ac:dyDescent="0.35">
      <c r="A16" s="27" t="s">
        <v>58</v>
      </c>
      <c r="B16"/>
      <c r="C16"/>
    </row>
    <row r="17" spans="1:3" x14ac:dyDescent="0.3">
      <c r="A17" t="s">
        <v>354</v>
      </c>
      <c r="B17" s="22" t="s">
        <v>355</v>
      </c>
      <c r="C17" s="23" t="s">
        <v>347</v>
      </c>
    </row>
    <row r="18" spans="1:3" x14ac:dyDescent="0.3">
      <c r="A18">
        <v>48103</v>
      </c>
      <c r="B18" s="162">
        <v>177260428</v>
      </c>
      <c r="C18" s="162">
        <v>20687231</v>
      </c>
    </row>
    <row r="19" spans="1:3" x14ac:dyDescent="0.3">
      <c r="A19">
        <v>48104</v>
      </c>
      <c r="B19" s="162">
        <v>97367186</v>
      </c>
      <c r="C19" s="162">
        <v>12639979</v>
      </c>
    </row>
    <row r="20" spans="1:3" x14ac:dyDescent="0.3">
      <c r="A20">
        <v>48105</v>
      </c>
      <c r="B20" s="162">
        <v>95517725</v>
      </c>
      <c r="C20" s="162">
        <v>10846251</v>
      </c>
    </row>
    <row r="21" spans="1:3" x14ac:dyDescent="0.3">
      <c r="A21">
        <v>48108</v>
      </c>
      <c r="B21" s="162">
        <v>78801786</v>
      </c>
      <c r="C21" s="162">
        <v>8434151</v>
      </c>
    </row>
    <row r="22" spans="1:3" x14ac:dyDescent="0.3">
      <c r="A22">
        <v>48109</v>
      </c>
      <c r="B22" s="162">
        <v>56739</v>
      </c>
      <c r="C22" s="162">
        <v>6398</v>
      </c>
    </row>
    <row r="23" spans="1:3" ht="15" thickBot="1" x14ac:dyDescent="0.35">
      <c r="A23" s="1" t="s">
        <v>356</v>
      </c>
      <c r="B23" s="100">
        <f>SUM(B18:B22)</f>
        <v>449003864</v>
      </c>
      <c r="C23" s="101">
        <f>SUM(C18:C22)</f>
        <v>52614010</v>
      </c>
    </row>
    <row r="24" spans="1:3" ht="15" thickBot="1" x14ac:dyDescent="0.35">
      <c r="A24" s="27" t="s">
        <v>59</v>
      </c>
      <c r="B24" s="7"/>
      <c r="C24" s="13"/>
    </row>
    <row r="25" spans="1:3" x14ac:dyDescent="0.3">
      <c r="A25" t="s">
        <v>354</v>
      </c>
      <c r="B25" s="12" t="s">
        <v>355</v>
      </c>
      <c r="C25" s="13" t="s">
        <v>347</v>
      </c>
    </row>
    <row r="26" spans="1:3" x14ac:dyDescent="0.3">
      <c r="A26">
        <v>48103</v>
      </c>
      <c r="B26" s="162">
        <v>183706191</v>
      </c>
      <c r="C26" s="162">
        <v>5478401</v>
      </c>
    </row>
    <row r="27" spans="1:3" x14ac:dyDescent="0.3">
      <c r="A27">
        <v>48104</v>
      </c>
      <c r="B27" s="162">
        <v>358545711</v>
      </c>
      <c r="C27" s="162">
        <v>5868847</v>
      </c>
    </row>
    <row r="28" spans="1:3" x14ac:dyDescent="0.3">
      <c r="A28">
        <v>48105</v>
      </c>
      <c r="B28" s="162">
        <v>263302708</v>
      </c>
      <c r="C28" s="162">
        <v>2088023</v>
      </c>
    </row>
    <row r="29" spans="1:3" x14ac:dyDescent="0.3">
      <c r="A29">
        <v>48108</v>
      </c>
      <c r="B29" s="162">
        <v>192228791</v>
      </c>
      <c r="C29" s="162">
        <v>5394334</v>
      </c>
    </row>
    <row r="30" spans="1:3" x14ac:dyDescent="0.3">
      <c r="A30">
        <v>48109</v>
      </c>
      <c r="B30" s="162">
        <v>189277746</v>
      </c>
      <c r="C30" s="162">
        <v>43527</v>
      </c>
    </row>
    <row r="31" spans="1:3" ht="15" thickBot="1" x14ac:dyDescent="0.35">
      <c r="A31" s="1" t="s">
        <v>357</v>
      </c>
      <c r="B31" s="100">
        <f>SUM(B26:B30)</f>
        <v>1187061147</v>
      </c>
      <c r="C31" s="101">
        <f>SUM(C26:C30)</f>
        <v>18873132</v>
      </c>
    </row>
    <row r="32" spans="1:3" ht="15" thickBot="1" x14ac:dyDescent="0.35">
      <c r="A32" s="27" t="s">
        <v>358</v>
      </c>
      <c r="B32" s="7"/>
      <c r="C32" s="13"/>
    </row>
    <row r="33" spans="1:43" x14ac:dyDescent="0.3">
      <c r="A33" t="s">
        <v>354</v>
      </c>
      <c r="B33" s="12" t="s">
        <v>355</v>
      </c>
      <c r="C33" s="13" t="s">
        <v>347</v>
      </c>
    </row>
    <row r="34" spans="1:43" x14ac:dyDescent="0.3">
      <c r="A34">
        <v>48103</v>
      </c>
      <c r="B34" s="162">
        <v>10260740</v>
      </c>
      <c r="C34" s="162">
        <v>36350</v>
      </c>
    </row>
    <row r="35" spans="1:43" x14ac:dyDescent="0.3">
      <c r="A35">
        <v>48104</v>
      </c>
      <c r="B35" s="162">
        <v>2217452</v>
      </c>
      <c r="C35" s="162">
        <v>4774</v>
      </c>
    </row>
    <row r="36" spans="1:43" x14ac:dyDescent="0.3">
      <c r="A36">
        <v>48105</v>
      </c>
      <c r="B36" s="162">
        <v>13855288</v>
      </c>
      <c r="C36" s="162">
        <v>11229</v>
      </c>
    </row>
    <row r="37" spans="1:43" x14ac:dyDescent="0.3">
      <c r="A37">
        <v>48108</v>
      </c>
      <c r="B37" s="162">
        <v>12685750</v>
      </c>
      <c r="C37" s="162">
        <v>261</v>
      </c>
    </row>
    <row r="38" spans="1:43" x14ac:dyDescent="0.3">
      <c r="A38">
        <v>48109</v>
      </c>
      <c r="B38" s="162"/>
      <c r="C38" s="162"/>
    </row>
    <row r="39" spans="1:43" x14ac:dyDescent="0.3">
      <c r="A39" s="1" t="s">
        <v>359</v>
      </c>
      <c r="B39" s="100">
        <f>SUM(B34:B38)</f>
        <v>39019230</v>
      </c>
      <c r="C39" s="101">
        <f>SUM(C34:C38)</f>
        <v>52614</v>
      </c>
    </row>
    <row r="40" spans="1:43" x14ac:dyDescent="0.3">
      <c r="A40" s="133" t="s">
        <v>67</v>
      </c>
      <c r="B40" s="163" t="s">
        <v>360</v>
      </c>
      <c r="C40" s="163"/>
    </row>
    <row r="42" spans="1:43" s="138" customFormat="1" ht="18" x14ac:dyDescent="0.35">
      <c r="A42" s="117" t="s">
        <v>1114</v>
      </c>
      <c r="B42" s="117" t="s">
        <v>361</v>
      </c>
      <c r="C42" s="117"/>
      <c r="D42" s="117"/>
      <c r="E42" s="117"/>
      <c r="F42" s="117"/>
      <c r="G42" s="117"/>
      <c r="H42" s="117"/>
      <c r="I42" s="117"/>
      <c r="J42" s="117"/>
      <c r="K42" s="117"/>
      <c r="L42" s="117"/>
      <c r="M42" s="117"/>
      <c r="N42" s="117"/>
      <c r="O42" s="117"/>
      <c r="P42" s="117"/>
      <c r="Q42" s="117"/>
      <c r="R42" s="117"/>
      <c r="S42" s="117"/>
      <c r="T42" s="117"/>
      <c r="U42" s="117"/>
      <c r="V42" s="117"/>
      <c r="W42" s="117"/>
      <c r="X42" s="117"/>
      <c r="Y42" s="117"/>
      <c r="Z42" s="117"/>
      <c r="AA42" s="117"/>
      <c r="AB42" s="117"/>
      <c r="AC42" s="117"/>
      <c r="AD42" s="117"/>
      <c r="AE42" s="117"/>
      <c r="AF42" s="117"/>
      <c r="AG42" s="117"/>
      <c r="AH42" s="117"/>
      <c r="AI42" s="117"/>
      <c r="AJ42" s="117"/>
      <c r="AK42" s="117"/>
      <c r="AL42" s="117"/>
      <c r="AM42" s="117"/>
      <c r="AN42" s="117"/>
      <c r="AO42" s="117"/>
      <c r="AP42" s="117"/>
      <c r="AQ42" s="117"/>
    </row>
    <row r="43" spans="1:43" x14ac:dyDescent="0.3">
      <c r="A43" s="35" t="s">
        <v>306</v>
      </c>
      <c r="B43" t="s">
        <v>362</v>
      </c>
    </row>
    <row r="44" spans="1:43" x14ac:dyDescent="0.3">
      <c r="A44" t="s">
        <v>58</v>
      </c>
      <c r="B44" s="164">
        <v>0.73</v>
      </c>
    </row>
    <row r="45" spans="1:43" x14ac:dyDescent="0.3">
      <c r="A45" t="s">
        <v>363</v>
      </c>
      <c r="B45" s="164">
        <v>0.76</v>
      </c>
    </row>
    <row r="46" spans="1:43" x14ac:dyDescent="0.3">
      <c r="A46" t="s">
        <v>67</v>
      </c>
      <c r="B46" t="s">
        <v>364</v>
      </c>
    </row>
    <row r="48" spans="1:43" s="138" customFormat="1" ht="18" x14ac:dyDescent="0.35">
      <c r="A48" s="117" t="s">
        <v>1115</v>
      </c>
      <c r="B48" s="117" t="s">
        <v>365</v>
      </c>
      <c r="C48" s="117"/>
      <c r="D48" s="117"/>
      <c r="E48" s="117"/>
      <c r="F48" s="117"/>
      <c r="G48" s="117"/>
      <c r="H48" s="117"/>
      <c r="I48" s="117"/>
      <c r="J48" s="117"/>
      <c r="K48" s="117"/>
      <c r="L48" s="117"/>
      <c r="M48" s="117"/>
      <c r="N48" s="117"/>
      <c r="O48" s="117"/>
      <c r="P48" s="117"/>
      <c r="Q48" s="117"/>
      <c r="R48" s="117"/>
      <c r="S48" s="117"/>
      <c r="T48" s="117"/>
      <c r="U48" s="117"/>
      <c r="V48" s="117"/>
      <c r="W48" s="117"/>
      <c r="X48" s="117"/>
      <c r="Y48" s="117"/>
      <c r="Z48" s="117"/>
      <c r="AA48" s="117"/>
      <c r="AB48" s="117"/>
      <c r="AC48" s="117"/>
      <c r="AD48" s="117"/>
      <c r="AE48" s="117"/>
      <c r="AF48" s="117"/>
      <c r="AG48" s="117"/>
      <c r="AH48" s="117"/>
      <c r="AI48" s="117"/>
      <c r="AJ48" s="117"/>
      <c r="AK48" s="117"/>
      <c r="AL48" s="117"/>
      <c r="AM48" s="117"/>
      <c r="AN48" s="117"/>
      <c r="AO48" s="117"/>
      <c r="AP48" s="117"/>
      <c r="AQ48" s="117"/>
    </row>
    <row r="49" spans="1:43" x14ac:dyDescent="0.3">
      <c r="A49" t="s">
        <v>366</v>
      </c>
      <c r="B49" s="166">
        <v>365000</v>
      </c>
    </row>
    <row r="50" spans="1:43" x14ac:dyDescent="0.3">
      <c r="A50" t="s">
        <v>287</v>
      </c>
      <c r="B50" s="71">
        <f>B49/HLOOKUP(ReportingYear,'A Community Indicators Data'!15:20,4)</f>
        <v>9.3362107620164073E-2</v>
      </c>
    </row>
    <row r="51" spans="1:43" x14ac:dyDescent="0.3">
      <c r="A51" t="s">
        <v>67</v>
      </c>
      <c r="B51" s="2" t="s">
        <v>367</v>
      </c>
    </row>
    <row r="53" spans="1:43" s="138" customFormat="1" ht="18" x14ac:dyDescent="0.35">
      <c r="A53" s="117" t="s">
        <v>1116</v>
      </c>
      <c r="B53" s="117" t="s">
        <v>368</v>
      </c>
      <c r="C53" s="117"/>
      <c r="D53" s="117"/>
      <c r="E53" s="117"/>
      <c r="F53" s="117"/>
      <c r="G53" s="117"/>
      <c r="H53" s="117"/>
      <c r="I53" s="117"/>
      <c r="J53" s="117"/>
      <c r="K53" s="117"/>
      <c r="L53" s="117"/>
      <c r="M53" s="117"/>
      <c r="N53" s="117"/>
      <c r="O53" s="117"/>
      <c r="P53" s="117"/>
      <c r="Q53" s="117"/>
      <c r="R53" s="117"/>
      <c r="S53" s="117"/>
      <c r="T53" s="117"/>
      <c r="U53" s="117"/>
      <c r="V53" s="117"/>
      <c r="W53" s="117"/>
      <c r="X53" s="117"/>
      <c r="Y53" s="117"/>
      <c r="Z53" s="117"/>
      <c r="AA53" s="117"/>
      <c r="AB53" s="117"/>
      <c r="AC53" s="117"/>
      <c r="AD53" s="117"/>
      <c r="AE53" s="117"/>
      <c r="AF53" s="117"/>
      <c r="AG53" s="117"/>
      <c r="AH53" s="117"/>
      <c r="AI53" s="117"/>
      <c r="AJ53" s="117"/>
      <c r="AK53" s="117"/>
      <c r="AL53" s="117"/>
      <c r="AM53" s="117"/>
      <c r="AN53" s="117"/>
      <c r="AO53" s="117"/>
      <c r="AP53" s="117"/>
      <c r="AQ53" s="117"/>
    </row>
    <row r="54" spans="1:43" x14ac:dyDescent="0.3">
      <c r="A54" s="140" t="s">
        <v>369</v>
      </c>
    </row>
    <row r="55" spans="1:43" s="140" customFormat="1" x14ac:dyDescent="0.3">
      <c r="A55" s="1" t="s">
        <v>61</v>
      </c>
      <c r="B55" s="1">
        <v>2010</v>
      </c>
      <c r="C55" s="1">
        <v>2011</v>
      </c>
      <c r="D55" s="1">
        <v>2012</v>
      </c>
      <c r="E55" s="1">
        <v>2013</v>
      </c>
      <c r="F55" s="1">
        <v>2014</v>
      </c>
      <c r="G55" s="1">
        <v>2015</v>
      </c>
      <c r="H55" s="1">
        <v>2016</v>
      </c>
      <c r="I55" s="1">
        <v>2017</v>
      </c>
      <c r="J55" s="1">
        <v>2018</v>
      </c>
      <c r="K55" s="129"/>
      <c r="L55" s="129"/>
      <c r="M55" s="129"/>
      <c r="N55" s="129"/>
      <c r="O55" s="129"/>
      <c r="P55" s="129"/>
      <c r="Q55" s="129"/>
      <c r="R55" s="129"/>
      <c r="S55" s="129"/>
      <c r="T55" s="129"/>
      <c r="U55" s="129"/>
      <c r="V55" s="129"/>
    </row>
    <row r="56" spans="1:43" x14ac:dyDescent="0.3">
      <c r="A56" t="s">
        <v>370</v>
      </c>
      <c r="B56">
        <v>9139</v>
      </c>
      <c r="C56">
        <v>8667</v>
      </c>
      <c r="D56">
        <v>7056</v>
      </c>
      <c r="E56">
        <v>9598</v>
      </c>
      <c r="F56">
        <v>10292</v>
      </c>
      <c r="G56">
        <v>8582</v>
      </c>
      <c r="H56">
        <v>9036</v>
      </c>
      <c r="I56">
        <v>9082</v>
      </c>
      <c r="J56">
        <v>11109</v>
      </c>
      <c r="K56" s="129"/>
      <c r="L56" s="129"/>
      <c r="M56" s="129"/>
      <c r="N56" s="129"/>
      <c r="O56" s="129"/>
      <c r="P56" s="129"/>
      <c r="Q56" s="129"/>
      <c r="R56" s="129"/>
      <c r="S56" s="129"/>
      <c r="T56" s="129"/>
      <c r="U56" s="129"/>
      <c r="V56" s="129"/>
    </row>
    <row r="57" spans="1:43" x14ac:dyDescent="0.3">
      <c r="A57" s="133" t="s">
        <v>67</v>
      </c>
      <c r="B57" s="139" t="s">
        <v>371</v>
      </c>
    </row>
    <row r="59" spans="1:43" x14ac:dyDescent="0.3">
      <c r="A59" s="140" t="s">
        <v>372</v>
      </c>
    </row>
    <row r="60" spans="1:43" s="140" customFormat="1" x14ac:dyDescent="0.3">
      <c r="A60" s="1" t="s">
        <v>61</v>
      </c>
      <c r="B60" s="1">
        <v>2010</v>
      </c>
      <c r="C60" s="1">
        <v>2011</v>
      </c>
      <c r="D60" s="1">
        <v>2012</v>
      </c>
      <c r="E60" s="1">
        <v>2013</v>
      </c>
      <c r="F60" s="1">
        <v>2014</v>
      </c>
      <c r="G60" s="1">
        <v>2015</v>
      </c>
      <c r="H60" s="1">
        <v>2016</v>
      </c>
      <c r="I60" s="1">
        <v>2017</v>
      </c>
      <c r="J60" s="1">
        <v>2018</v>
      </c>
      <c r="K60" s="168"/>
      <c r="L60" s="168"/>
      <c r="M60" s="168"/>
      <c r="N60" s="168"/>
      <c r="O60" s="168"/>
      <c r="P60" s="168"/>
      <c r="Q60" s="168"/>
      <c r="R60" s="168"/>
      <c r="S60" s="168"/>
      <c r="T60" s="168"/>
      <c r="U60" s="168"/>
      <c r="V60" s="168"/>
    </row>
    <row r="61" spans="1:43" x14ac:dyDescent="0.3">
      <c r="A61" t="s">
        <v>373</v>
      </c>
      <c r="B61" s="26">
        <v>352528</v>
      </c>
      <c r="C61" s="26">
        <v>342226</v>
      </c>
      <c r="D61" s="26">
        <v>334467</v>
      </c>
      <c r="E61" s="26">
        <v>328478</v>
      </c>
      <c r="F61" s="26">
        <v>324449</v>
      </c>
      <c r="G61" s="26">
        <v>321620</v>
      </c>
      <c r="H61" s="26">
        <v>319029</v>
      </c>
      <c r="I61" s="26">
        <v>320680</v>
      </c>
      <c r="J61" s="26">
        <v>323130</v>
      </c>
      <c r="K61" s="129"/>
      <c r="L61" s="129"/>
      <c r="M61" s="129"/>
      <c r="N61" s="129"/>
      <c r="O61" s="129"/>
      <c r="P61" s="129"/>
      <c r="Q61" s="129"/>
      <c r="R61" s="129"/>
      <c r="S61" s="129"/>
      <c r="T61" s="129"/>
      <c r="U61" s="129"/>
      <c r="V61" s="129"/>
    </row>
    <row r="62" spans="1:43" x14ac:dyDescent="0.3">
      <c r="A62" t="s">
        <v>374</v>
      </c>
      <c r="B62">
        <v>580</v>
      </c>
      <c r="C62">
        <v>706</v>
      </c>
      <c r="D62">
        <v>727</v>
      </c>
      <c r="E62">
        <v>771</v>
      </c>
      <c r="F62">
        <v>924</v>
      </c>
      <c r="G62" s="26">
        <v>1078</v>
      </c>
      <c r="H62" s="26">
        <v>1017</v>
      </c>
      <c r="I62" s="26">
        <v>1065</v>
      </c>
      <c r="J62" s="26">
        <v>1020</v>
      </c>
      <c r="K62" s="129"/>
      <c r="L62" s="129"/>
      <c r="M62" s="129"/>
      <c r="N62" s="129"/>
      <c r="O62" s="129"/>
      <c r="P62" s="129"/>
      <c r="Q62" s="129"/>
      <c r="R62" s="129"/>
      <c r="S62" s="129"/>
      <c r="T62" s="129"/>
      <c r="U62" s="129"/>
      <c r="V62" s="129"/>
    </row>
    <row r="63" spans="1:43" x14ac:dyDescent="0.3">
      <c r="A63" s="133" t="s">
        <v>67</v>
      </c>
      <c r="B63" s="133" t="s">
        <v>375</v>
      </c>
      <c r="G63" s="167"/>
      <c r="H63" s="167"/>
      <c r="I63" s="167"/>
      <c r="J63" s="167"/>
    </row>
    <row r="65" spans="1:43" x14ac:dyDescent="0.3">
      <c r="A65" s="140" t="s">
        <v>376</v>
      </c>
    </row>
    <row r="66" spans="1:43" s="140" customFormat="1" x14ac:dyDescent="0.3">
      <c r="A66" s="1" t="s">
        <v>61</v>
      </c>
      <c r="B66" s="1">
        <v>2010</v>
      </c>
      <c r="C66" s="1">
        <v>2011</v>
      </c>
      <c r="D66" s="1">
        <v>2012</v>
      </c>
      <c r="E66" s="1">
        <v>2013</v>
      </c>
      <c r="F66" s="1">
        <v>2014</v>
      </c>
      <c r="G66" s="1">
        <v>2015</v>
      </c>
      <c r="H66" s="1">
        <v>2016</v>
      </c>
      <c r="I66" s="1">
        <v>2017</v>
      </c>
      <c r="J66" s="1">
        <v>2018</v>
      </c>
      <c r="K66" s="168"/>
      <c r="L66" s="168"/>
      <c r="M66" s="168"/>
      <c r="N66" s="168"/>
      <c r="O66" s="168"/>
      <c r="P66" s="168"/>
      <c r="Q66" s="168"/>
      <c r="R66" s="168"/>
      <c r="S66" s="168"/>
      <c r="T66" s="168"/>
      <c r="U66" s="168"/>
      <c r="V66" s="168"/>
    </row>
    <row r="67" spans="1:43" x14ac:dyDescent="0.3">
      <c r="A67" t="s">
        <v>377</v>
      </c>
      <c r="B67" s="19">
        <f t="shared" ref="B67:J67" si="0">((B56*1000)/B61)*bbl_to_CCF</f>
        <v>1.4556428141878093</v>
      </c>
      <c r="C67" s="19">
        <f t="shared" si="0"/>
        <v>1.4220195134209559</v>
      </c>
      <c r="D67" s="19">
        <f t="shared" si="0"/>
        <v>1.1845545300433227</v>
      </c>
      <c r="E67" s="19">
        <f t="shared" si="0"/>
        <v>1.6406812632809504</v>
      </c>
      <c r="F67" s="19">
        <f t="shared" si="0"/>
        <v>1.7811606754836664</v>
      </c>
      <c r="G67" s="19">
        <f t="shared" si="0"/>
        <v>1.4982877308625087</v>
      </c>
      <c r="H67" s="19">
        <f t="shared" si="0"/>
        <v>1.5903613778057795</v>
      </c>
      <c r="I67" s="19">
        <f t="shared" si="0"/>
        <v>1.5902279530996632</v>
      </c>
      <c r="J67" s="19">
        <f t="shared" si="0"/>
        <v>1.9304006127564759</v>
      </c>
      <c r="K67" s="129"/>
      <c r="L67" s="129"/>
      <c r="M67" s="129"/>
      <c r="N67" s="129"/>
      <c r="O67" s="129"/>
      <c r="P67" s="129"/>
      <c r="Q67" s="129"/>
      <c r="R67" s="129"/>
      <c r="S67" s="129"/>
      <c r="T67" s="129"/>
      <c r="U67" s="129"/>
      <c r="V67" s="129"/>
    </row>
    <row r="69" spans="1:43" s="138" customFormat="1" ht="18" x14ac:dyDescent="0.35">
      <c r="A69" s="117" t="s">
        <v>1117</v>
      </c>
      <c r="B69" s="117" t="s">
        <v>378</v>
      </c>
      <c r="C69" s="117"/>
      <c r="D69" s="117"/>
      <c r="E69" s="117"/>
      <c r="F69" s="117"/>
      <c r="G69" s="117"/>
      <c r="H69" s="117"/>
      <c r="I69" s="117"/>
      <c r="J69" s="117"/>
      <c r="K69" s="117"/>
      <c r="L69" s="117"/>
      <c r="M69" s="117"/>
      <c r="N69" s="117"/>
      <c r="O69" s="117"/>
      <c r="P69" s="117"/>
      <c r="Q69" s="117"/>
      <c r="R69" s="117"/>
      <c r="S69" s="117"/>
      <c r="T69" s="117"/>
      <c r="U69" s="117"/>
      <c r="V69" s="117"/>
      <c r="W69" s="117"/>
      <c r="X69" s="117"/>
      <c r="Y69" s="117"/>
      <c r="Z69" s="117"/>
      <c r="AA69" s="117"/>
      <c r="AB69" s="117"/>
      <c r="AC69" s="117"/>
      <c r="AD69" s="117"/>
      <c r="AE69" s="117"/>
      <c r="AF69" s="117"/>
      <c r="AG69" s="117"/>
      <c r="AH69" s="117"/>
      <c r="AI69" s="117"/>
      <c r="AJ69" s="117"/>
      <c r="AK69" s="117"/>
      <c r="AL69" s="117"/>
      <c r="AM69" s="117"/>
      <c r="AN69" s="117"/>
      <c r="AO69" s="117"/>
      <c r="AP69" s="117"/>
      <c r="AQ69" s="117"/>
    </row>
    <row r="70" spans="1:43" s="140" customFormat="1" x14ac:dyDescent="0.3">
      <c r="A70" s="1" t="s">
        <v>61</v>
      </c>
      <c r="B70" s="124">
        <v>2007</v>
      </c>
      <c r="C70" s="124">
        <v>2008</v>
      </c>
      <c r="D70" s="124">
        <v>2009</v>
      </c>
      <c r="E70" s="124">
        <v>2010</v>
      </c>
      <c r="F70" s="124">
        <v>2011</v>
      </c>
      <c r="G70" s="124">
        <v>2012</v>
      </c>
      <c r="H70" s="124">
        <v>2013</v>
      </c>
      <c r="I70" s="124">
        <v>2014</v>
      </c>
      <c r="J70" s="124">
        <v>2015</v>
      </c>
      <c r="K70" s="124">
        <v>2016</v>
      </c>
      <c r="L70" s="124">
        <v>2017</v>
      </c>
      <c r="M70" s="124">
        <v>2018</v>
      </c>
      <c r="N70" s="124">
        <v>2019</v>
      </c>
      <c r="O70" s="170"/>
      <c r="P70" s="168"/>
      <c r="Q70" s="168"/>
      <c r="R70" s="168"/>
      <c r="S70" s="168"/>
      <c r="T70" s="168"/>
      <c r="U70" s="168"/>
      <c r="V70" s="168"/>
    </row>
    <row r="71" spans="1:43" x14ac:dyDescent="0.3">
      <c r="A71" s="10" t="s">
        <v>379</v>
      </c>
      <c r="B71" s="69">
        <v>437583452</v>
      </c>
      <c r="C71" s="69">
        <v>460274660</v>
      </c>
      <c r="D71" s="69">
        <v>436860957</v>
      </c>
      <c r="E71" s="69">
        <v>506719832</v>
      </c>
      <c r="F71" s="69">
        <v>577941935</v>
      </c>
      <c r="G71" s="69">
        <v>498724851</v>
      </c>
      <c r="H71" s="69">
        <v>527964134</v>
      </c>
      <c r="I71" s="69">
        <v>487255416</v>
      </c>
      <c r="J71" s="69">
        <v>488283476</v>
      </c>
      <c r="K71" s="69">
        <v>503674291</v>
      </c>
      <c r="L71" s="69">
        <v>525215434</v>
      </c>
      <c r="M71" s="69">
        <v>504845462</v>
      </c>
      <c r="N71" s="69">
        <v>530861576</v>
      </c>
      <c r="O71" s="171"/>
      <c r="P71" s="129"/>
      <c r="Q71" s="129"/>
      <c r="R71" s="129"/>
      <c r="S71" s="129"/>
      <c r="T71" s="129"/>
      <c r="U71" s="129"/>
      <c r="V71" s="129"/>
    </row>
    <row r="72" spans="1:43" ht="28.8" x14ac:dyDescent="0.3">
      <c r="A72" s="10" t="s">
        <v>380</v>
      </c>
      <c r="B72" s="69">
        <v>46460401</v>
      </c>
      <c r="C72" s="69">
        <v>45675423</v>
      </c>
      <c r="D72" s="69">
        <v>48189300</v>
      </c>
      <c r="E72" s="69">
        <v>50042555</v>
      </c>
      <c r="F72" s="69">
        <v>50320452</v>
      </c>
      <c r="G72" s="69">
        <v>54829329</v>
      </c>
      <c r="H72" s="69">
        <v>52533478</v>
      </c>
      <c r="I72" s="69">
        <v>57935946</v>
      </c>
      <c r="J72" s="69">
        <v>58708083</v>
      </c>
      <c r="K72" s="69">
        <v>50308475</v>
      </c>
      <c r="L72" s="69">
        <v>51271081</v>
      </c>
      <c r="M72" s="69">
        <v>50961343</v>
      </c>
      <c r="N72" s="69">
        <v>49575879</v>
      </c>
      <c r="O72" s="171"/>
      <c r="P72" s="129"/>
      <c r="Q72" s="129"/>
      <c r="R72" s="129"/>
      <c r="S72" s="129"/>
      <c r="T72" s="129"/>
      <c r="U72" s="129"/>
      <c r="V72" s="129"/>
    </row>
    <row r="73" spans="1:43" x14ac:dyDescent="0.3">
      <c r="A73" s="10" t="s">
        <v>991</v>
      </c>
      <c r="B73" s="69">
        <v>35954</v>
      </c>
      <c r="C73" s="69">
        <v>34620</v>
      </c>
      <c r="D73" s="69">
        <v>39406</v>
      </c>
      <c r="E73" s="69">
        <v>29710</v>
      </c>
      <c r="F73" s="69">
        <v>33688</v>
      </c>
      <c r="G73" s="69">
        <v>29008</v>
      </c>
      <c r="H73" s="69">
        <v>34594</v>
      </c>
      <c r="I73" s="69">
        <v>35644</v>
      </c>
      <c r="J73" s="69">
        <v>36731</v>
      </c>
      <c r="K73" s="69">
        <v>31345</v>
      </c>
      <c r="L73" s="69">
        <v>29366</v>
      </c>
      <c r="M73" s="69">
        <v>30566</v>
      </c>
      <c r="N73" s="69">
        <v>13799</v>
      </c>
      <c r="O73" s="171"/>
      <c r="P73" s="129"/>
      <c r="Q73" s="129"/>
      <c r="R73" s="129"/>
      <c r="S73" s="129"/>
      <c r="T73" s="129"/>
      <c r="U73" s="129"/>
      <c r="V73" s="129"/>
    </row>
    <row r="74" spans="1:43" x14ac:dyDescent="0.3">
      <c r="A74" s="10" t="s">
        <v>992</v>
      </c>
      <c r="B74" s="69">
        <v>0</v>
      </c>
      <c r="C74" s="69">
        <v>57992</v>
      </c>
      <c r="D74" s="69">
        <v>0</v>
      </c>
      <c r="E74" s="69">
        <v>119992</v>
      </c>
      <c r="F74" s="69">
        <v>0</v>
      </c>
      <c r="G74" s="69">
        <v>456807</v>
      </c>
      <c r="H74" s="69">
        <v>0</v>
      </c>
      <c r="I74" s="69">
        <v>65011</v>
      </c>
      <c r="J74" s="69">
        <v>0</v>
      </c>
      <c r="K74" s="69">
        <v>0</v>
      </c>
      <c r="L74" s="69">
        <v>0</v>
      </c>
      <c r="M74" s="69">
        <v>0</v>
      </c>
      <c r="N74" s="69">
        <v>20111</v>
      </c>
      <c r="O74" s="172"/>
      <c r="P74" s="169"/>
      <c r="Q74" s="169"/>
      <c r="R74" s="169"/>
      <c r="S74" s="169"/>
      <c r="T74" s="169"/>
      <c r="U74" s="169"/>
      <c r="V74" s="169"/>
    </row>
    <row r="76" spans="1:43" s="138" customFormat="1" ht="15.6" customHeight="1" x14ac:dyDescent="0.35">
      <c r="A76" s="117" t="s">
        <v>1118</v>
      </c>
      <c r="B76" s="117" t="s">
        <v>381</v>
      </c>
      <c r="C76" s="117"/>
      <c r="D76" s="117"/>
      <c r="E76" s="117"/>
      <c r="F76" s="117"/>
      <c r="G76" s="117"/>
      <c r="H76" s="117"/>
      <c r="I76" s="117"/>
      <c r="J76" s="117"/>
      <c r="K76" s="117"/>
      <c r="L76" s="117"/>
      <c r="M76" s="117"/>
      <c r="N76" s="117"/>
      <c r="O76" s="117"/>
      <c r="P76" s="117"/>
      <c r="Q76" s="117"/>
      <c r="R76" s="117"/>
      <c r="S76" s="117"/>
      <c r="T76" s="117"/>
      <c r="U76" s="117"/>
      <c r="V76" s="117"/>
      <c r="W76" s="117"/>
      <c r="X76" s="117"/>
      <c r="Y76" s="117"/>
      <c r="Z76" s="117"/>
      <c r="AA76" s="117"/>
      <c r="AB76" s="117"/>
      <c r="AC76" s="117"/>
      <c r="AD76" s="117"/>
      <c r="AE76" s="117"/>
      <c r="AF76" s="117"/>
      <c r="AG76" s="117"/>
      <c r="AH76" s="117"/>
      <c r="AI76" s="117"/>
      <c r="AJ76" s="117"/>
      <c r="AK76" s="117"/>
      <c r="AL76" s="117"/>
      <c r="AM76" s="117"/>
      <c r="AN76" s="117"/>
      <c r="AO76" s="117"/>
      <c r="AP76" s="117"/>
      <c r="AQ76" s="117"/>
    </row>
    <row r="77" spans="1:43" x14ac:dyDescent="0.3">
      <c r="A77" s="17" t="s">
        <v>382</v>
      </c>
      <c r="B77" s="63" t="s">
        <v>383</v>
      </c>
      <c r="C77" s="63" t="s">
        <v>384</v>
      </c>
      <c r="D77" s="63" t="s">
        <v>385</v>
      </c>
      <c r="E77" s="63" t="s">
        <v>386</v>
      </c>
      <c r="F77" s="63" t="s">
        <v>387</v>
      </c>
      <c r="G77" s="63" t="s">
        <v>388</v>
      </c>
      <c r="H77" s="63" t="s">
        <v>389</v>
      </c>
      <c r="I77" s="63" t="s">
        <v>390</v>
      </c>
      <c r="J77" s="63" t="s">
        <v>391</v>
      </c>
      <c r="K77" s="63" t="s">
        <v>392</v>
      </c>
      <c r="L77" s="63" t="s">
        <v>393</v>
      </c>
      <c r="M77" s="63" t="s">
        <v>394</v>
      </c>
      <c r="N77" s="63" t="s">
        <v>395</v>
      </c>
      <c r="O77" s="63" t="s">
        <v>396</v>
      </c>
      <c r="P77" s="63" t="s">
        <v>397</v>
      </c>
      <c r="Q77" s="63" t="s">
        <v>398</v>
      </c>
      <c r="R77" s="63" t="s">
        <v>399</v>
      </c>
      <c r="S77" s="63" t="s">
        <v>400</v>
      </c>
      <c r="T77" s="63" t="s">
        <v>401</v>
      </c>
      <c r="U77" s="63" t="s">
        <v>402</v>
      </c>
      <c r="V77" s="63" t="s">
        <v>403</v>
      </c>
      <c r="W77" s="63" t="s">
        <v>404</v>
      </c>
      <c r="X77" s="63" t="s">
        <v>405</v>
      </c>
      <c r="Y77" s="63" t="s">
        <v>406</v>
      </c>
      <c r="Z77" s="63" t="s">
        <v>407</v>
      </c>
      <c r="AA77" s="63" t="s">
        <v>408</v>
      </c>
      <c r="AB77" s="63" t="s">
        <v>409</v>
      </c>
      <c r="AC77" s="63" t="s">
        <v>410</v>
      </c>
      <c r="AD77" s="63" t="s">
        <v>411</v>
      </c>
      <c r="AE77" s="129"/>
      <c r="AF77" s="129"/>
      <c r="AG77" s="129"/>
      <c r="AH77" s="129"/>
      <c r="AI77" s="129"/>
      <c r="AJ77" s="129"/>
      <c r="AK77" s="129"/>
      <c r="AL77" s="129"/>
      <c r="AM77" s="129"/>
      <c r="AN77" s="129"/>
      <c r="AO77" s="129"/>
      <c r="AP77" s="129"/>
      <c r="AQ77" s="129"/>
    </row>
    <row r="78" spans="1:43" x14ac:dyDescent="0.3">
      <c r="A78" t="s">
        <v>412</v>
      </c>
      <c r="B78" s="70">
        <v>4347354</v>
      </c>
      <c r="C78" s="70">
        <v>4371282</v>
      </c>
      <c r="D78" s="70">
        <v>4466876</v>
      </c>
      <c r="E78" s="70">
        <v>4557801</v>
      </c>
      <c r="F78" s="70">
        <v>4541485</v>
      </c>
      <c r="G78" s="70">
        <v>4436534</v>
      </c>
      <c r="H78" s="70">
        <v>4026079</v>
      </c>
      <c r="I78" s="70">
        <v>4098164</v>
      </c>
      <c r="J78" s="70">
        <v>2872197</v>
      </c>
      <c r="K78" s="70">
        <v>2973171</v>
      </c>
      <c r="L78" s="70">
        <v>2887280</v>
      </c>
      <c r="M78" s="70">
        <v>2821309</v>
      </c>
      <c r="N78" s="70">
        <v>2882639</v>
      </c>
      <c r="O78" s="70">
        <v>2919243</v>
      </c>
      <c r="P78" s="70">
        <v>2922287</v>
      </c>
      <c r="Q78" s="70">
        <v>2584479</v>
      </c>
      <c r="R78" s="70">
        <v>2353796</v>
      </c>
      <c r="S78" s="70">
        <v>2005136</v>
      </c>
      <c r="T78" s="70">
        <v>2144060</v>
      </c>
      <c r="U78" s="70">
        <v>1792173</v>
      </c>
      <c r="V78" s="70">
        <v>1899233</v>
      </c>
      <c r="W78" s="70">
        <v>1927006</v>
      </c>
      <c r="X78" s="70">
        <v>2368855</v>
      </c>
      <c r="Y78" s="70">
        <v>2359430</v>
      </c>
      <c r="Z78" s="70">
        <v>2333108</v>
      </c>
      <c r="AA78" s="70">
        <v>2090106</v>
      </c>
      <c r="AB78" s="70">
        <v>2412215</v>
      </c>
      <c r="AC78" s="70">
        <v>2399105</v>
      </c>
      <c r="AD78" s="70">
        <v>2528022</v>
      </c>
      <c r="AE78" s="129"/>
      <c r="AF78" s="129"/>
      <c r="AG78" s="129"/>
      <c r="AH78" s="129"/>
      <c r="AI78" s="129"/>
      <c r="AJ78" s="129"/>
      <c r="AK78" s="129"/>
      <c r="AL78" s="129"/>
      <c r="AM78" s="129"/>
      <c r="AN78" s="129"/>
      <c r="AO78" s="129"/>
      <c r="AP78" s="129"/>
      <c r="AQ78" s="129"/>
    </row>
    <row r="79" spans="1:43" x14ac:dyDescent="0.3">
      <c r="A79" t="s">
        <v>413</v>
      </c>
      <c r="B79" s="70">
        <v>6253358</v>
      </c>
      <c r="C79" s="70">
        <v>6489739</v>
      </c>
      <c r="D79" s="70">
        <v>6627887</v>
      </c>
      <c r="E79" s="70">
        <v>7010035</v>
      </c>
      <c r="F79" s="70">
        <v>6925090</v>
      </c>
      <c r="G79" s="70">
        <v>7228086</v>
      </c>
      <c r="H79" s="70">
        <v>7475091</v>
      </c>
      <c r="I79" s="70">
        <v>7342958</v>
      </c>
      <c r="J79" s="70">
        <v>7146765</v>
      </c>
      <c r="K79" s="70">
        <v>8157531</v>
      </c>
      <c r="L79" s="70">
        <v>8149525</v>
      </c>
      <c r="M79" s="70">
        <v>8008765</v>
      </c>
      <c r="N79" s="70">
        <v>7971953</v>
      </c>
      <c r="O79" s="70">
        <v>7994648</v>
      </c>
      <c r="P79" s="70">
        <v>7811664</v>
      </c>
      <c r="Q79" s="70">
        <v>7381644</v>
      </c>
      <c r="R79" s="70">
        <v>7003745</v>
      </c>
      <c r="S79" s="70">
        <v>6917662</v>
      </c>
      <c r="T79" s="70">
        <v>6738319</v>
      </c>
      <c r="U79" s="70">
        <v>6246131</v>
      </c>
      <c r="V79" s="70">
        <v>6403217</v>
      </c>
      <c r="W79" s="70">
        <v>6491641</v>
      </c>
      <c r="X79" s="70">
        <v>5676320</v>
      </c>
      <c r="Y79" s="70">
        <v>5535180</v>
      </c>
      <c r="Z79" s="70">
        <v>5379559</v>
      </c>
      <c r="AA79" s="70">
        <v>5111026</v>
      </c>
      <c r="AB79" s="70">
        <v>5452288</v>
      </c>
      <c r="AC79" s="70">
        <v>5543151</v>
      </c>
      <c r="AD79" s="70">
        <v>5407614</v>
      </c>
      <c r="AE79" s="129"/>
      <c r="AF79" s="129"/>
      <c r="AG79" s="129"/>
      <c r="AH79" s="129"/>
      <c r="AI79" s="129"/>
      <c r="AJ79" s="129"/>
      <c r="AK79" s="129"/>
      <c r="AL79" s="129"/>
      <c r="AM79" s="129"/>
      <c r="AN79" s="129"/>
      <c r="AO79" s="129"/>
      <c r="AP79" s="129"/>
      <c r="AQ79" s="129"/>
    </row>
    <row r="80" spans="1:43" x14ac:dyDescent="0.3">
      <c r="A80" s="4" t="s">
        <v>414</v>
      </c>
      <c r="B80" s="70">
        <v>103235214</v>
      </c>
      <c r="C80" s="70">
        <v>106085752</v>
      </c>
      <c r="D80" s="70">
        <v>95405414</v>
      </c>
      <c r="E80" s="70">
        <v>108788418</v>
      </c>
      <c r="F80" s="70">
        <v>105217614</v>
      </c>
      <c r="G80" s="70">
        <v>113245201</v>
      </c>
      <c r="H80" s="70">
        <v>114644137</v>
      </c>
      <c r="I80" s="70">
        <v>111161719</v>
      </c>
      <c r="J80" s="70">
        <v>115823921</v>
      </c>
      <c r="K80" s="70">
        <v>118021641</v>
      </c>
      <c r="L80" s="70">
        <v>119119644</v>
      </c>
      <c r="M80" s="70">
        <v>115514781</v>
      </c>
      <c r="N80" s="70">
        <v>120774037</v>
      </c>
      <c r="O80" s="70">
        <v>126043360</v>
      </c>
      <c r="P80" s="70">
        <v>124943450</v>
      </c>
      <c r="Q80" s="70">
        <v>127508442</v>
      </c>
      <c r="R80" s="70">
        <v>122663135</v>
      </c>
      <c r="S80" s="70">
        <v>122849296</v>
      </c>
      <c r="T80" s="70">
        <v>121294978</v>
      </c>
      <c r="U80" s="70">
        <v>108983113</v>
      </c>
      <c r="V80" s="70">
        <v>117668998</v>
      </c>
      <c r="W80" s="70">
        <v>114594397</v>
      </c>
      <c r="X80" s="70">
        <v>114957800</v>
      </c>
      <c r="Y80" s="70">
        <v>112702124</v>
      </c>
      <c r="Z80" s="70">
        <v>112992516</v>
      </c>
      <c r="AA80" s="70">
        <v>121489303</v>
      </c>
      <c r="AB80" s="70">
        <v>119958796</v>
      </c>
      <c r="AC80" s="70">
        <v>118048468</v>
      </c>
      <c r="AD80" s="70">
        <v>122378801</v>
      </c>
      <c r="AE80" s="129"/>
      <c r="AF80" s="129"/>
      <c r="AG80" s="129"/>
      <c r="AH80" s="129"/>
      <c r="AI80" s="129"/>
      <c r="AJ80" s="129"/>
      <c r="AK80" s="129"/>
      <c r="AL80" s="129"/>
      <c r="AM80" s="129"/>
      <c r="AN80" s="129"/>
      <c r="AO80" s="129"/>
      <c r="AP80" s="129"/>
      <c r="AQ80" s="129"/>
    </row>
    <row r="82" spans="1:43" x14ac:dyDescent="0.3">
      <c r="A82" s="1" t="s">
        <v>61</v>
      </c>
      <c r="B82">
        <f t="shared" ref="B82:AD82" si="1">VALUE(RIGHT(B77,4))</f>
        <v>1990</v>
      </c>
      <c r="C82">
        <f t="shared" si="1"/>
        <v>1991</v>
      </c>
      <c r="D82">
        <f t="shared" si="1"/>
        <v>1992</v>
      </c>
      <c r="E82">
        <f t="shared" si="1"/>
        <v>1993</v>
      </c>
      <c r="F82">
        <f t="shared" si="1"/>
        <v>1994</v>
      </c>
      <c r="G82">
        <f t="shared" si="1"/>
        <v>1995</v>
      </c>
      <c r="H82">
        <f t="shared" si="1"/>
        <v>1996</v>
      </c>
      <c r="I82">
        <f t="shared" si="1"/>
        <v>1997</v>
      </c>
      <c r="J82">
        <f t="shared" si="1"/>
        <v>1998</v>
      </c>
      <c r="K82">
        <f t="shared" si="1"/>
        <v>1999</v>
      </c>
      <c r="L82">
        <f t="shared" si="1"/>
        <v>2000</v>
      </c>
      <c r="M82">
        <f t="shared" si="1"/>
        <v>2001</v>
      </c>
      <c r="N82">
        <f t="shared" si="1"/>
        <v>2002</v>
      </c>
      <c r="O82">
        <f t="shared" si="1"/>
        <v>2003</v>
      </c>
      <c r="P82">
        <f t="shared" si="1"/>
        <v>2004</v>
      </c>
      <c r="Q82">
        <f t="shared" si="1"/>
        <v>2005</v>
      </c>
      <c r="R82">
        <f t="shared" si="1"/>
        <v>2006</v>
      </c>
      <c r="S82">
        <f t="shared" si="1"/>
        <v>2007</v>
      </c>
      <c r="T82">
        <f t="shared" si="1"/>
        <v>2008</v>
      </c>
      <c r="U82">
        <f t="shared" si="1"/>
        <v>2009</v>
      </c>
      <c r="V82">
        <f t="shared" si="1"/>
        <v>2010</v>
      </c>
      <c r="W82">
        <f t="shared" si="1"/>
        <v>2011</v>
      </c>
      <c r="X82">
        <f t="shared" si="1"/>
        <v>2012</v>
      </c>
      <c r="Y82">
        <f t="shared" si="1"/>
        <v>2013</v>
      </c>
      <c r="Z82">
        <f t="shared" si="1"/>
        <v>2014</v>
      </c>
      <c r="AA82">
        <f t="shared" si="1"/>
        <v>2015</v>
      </c>
      <c r="AB82">
        <f t="shared" si="1"/>
        <v>2016</v>
      </c>
      <c r="AC82">
        <f t="shared" si="1"/>
        <v>2017</v>
      </c>
      <c r="AD82">
        <f t="shared" si="1"/>
        <v>2018</v>
      </c>
      <c r="AE82"/>
      <c r="AF82"/>
      <c r="AG82"/>
      <c r="AH82"/>
      <c r="AI82"/>
      <c r="AJ82"/>
      <c r="AK82"/>
      <c r="AL82"/>
      <c r="AM82"/>
      <c r="AN82"/>
      <c r="AO82"/>
      <c r="AP82"/>
      <c r="AQ82"/>
    </row>
    <row r="83" spans="1:43" x14ac:dyDescent="0.3">
      <c r="A83" s="1" t="s">
        <v>57</v>
      </c>
      <c r="B83" s="37">
        <f t="shared" ref="B83:AD83" si="2">B79/(B80-B78)</f>
        <v>6.3236862441962041E-2</v>
      </c>
      <c r="C83" s="37">
        <f t="shared" si="2"/>
        <v>6.3803498165010353E-2</v>
      </c>
      <c r="D83" s="37">
        <f t="shared" si="2"/>
        <v>7.2883148836195275E-2</v>
      </c>
      <c r="E83" s="37">
        <f t="shared" si="2"/>
        <v>6.7255046566595686E-2</v>
      </c>
      <c r="F83" s="37">
        <f t="shared" si="2"/>
        <v>6.8785819128981407E-2</v>
      </c>
      <c r="G83" s="37">
        <f t="shared" si="2"/>
        <v>6.642932221566504E-2</v>
      </c>
      <c r="H83" s="37">
        <f t="shared" si="2"/>
        <v>6.7575684613808709E-2</v>
      </c>
      <c r="I83" s="37">
        <f t="shared" si="2"/>
        <v>6.8585038111241489E-2</v>
      </c>
      <c r="J83" s="37">
        <f t="shared" si="2"/>
        <v>6.3272739422728957E-2</v>
      </c>
      <c r="K83" s="37">
        <f t="shared" si="2"/>
        <v>7.0905167187360243E-2</v>
      </c>
      <c r="L83" s="37">
        <f t="shared" si="2"/>
        <v>7.0114077693541541E-2</v>
      </c>
      <c r="M83" s="37">
        <f t="shared" si="2"/>
        <v>7.1066805005351147E-2</v>
      </c>
      <c r="N83" s="37">
        <f t="shared" si="2"/>
        <v>6.7621159263884539E-2</v>
      </c>
      <c r="O83" s="37">
        <f t="shared" si="2"/>
        <v>6.4931616930905586E-2</v>
      </c>
      <c r="P83" s="37">
        <f t="shared" si="2"/>
        <v>6.4018927601927539E-2</v>
      </c>
      <c r="Q83" s="37">
        <f t="shared" si="2"/>
        <v>5.908909566053392E-2</v>
      </c>
      <c r="R83" s="37">
        <f t="shared" si="2"/>
        <v>5.821447493781011E-2</v>
      </c>
      <c r="S83" s="37">
        <f t="shared" si="2"/>
        <v>5.7244487445649007E-2</v>
      </c>
      <c r="T83" s="37">
        <f t="shared" si="2"/>
        <v>5.6552808095024498E-2</v>
      </c>
      <c r="U83" s="37">
        <f t="shared" si="2"/>
        <v>5.8271072163375001E-2</v>
      </c>
      <c r="V83" s="37">
        <f t="shared" si="2"/>
        <v>5.5309924832273781E-2</v>
      </c>
      <c r="W83" s="37">
        <f t="shared" si="2"/>
        <v>5.761774496047397E-2</v>
      </c>
      <c r="X83" s="37">
        <f t="shared" si="2"/>
        <v>5.0416317516786394E-2</v>
      </c>
      <c r="Y83" s="37">
        <f t="shared" si="2"/>
        <v>5.0163538693372846E-2</v>
      </c>
      <c r="Z83" s="37">
        <f t="shared" si="2"/>
        <v>4.8613661479193888E-2</v>
      </c>
      <c r="AA83" s="37">
        <f t="shared" si="2"/>
        <v>4.2806200782070584E-2</v>
      </c>
      <c r="AB83" s="37">
        <f t="shared" si="2"/>
        <v>4.6384062842287181E-2</v>
      </c>
      <c r="AC83" s="37">
        <f t="shared" si="2"/>
        <v>4.793066607725284E-2</v>
      </c>
      <c r="AD83" s="37">
        <f t="shared" si="2"/>
        <v>4.5119556544559465E-2</v>
      </c>
      <c r="AE83"/>
      <c r="AF83"/>
      <c r="AG83"/>
      <c r="AH83"/>
      <c r="AI83"/>
      <c r="AJ83"/>
      <c r="AK83"/>
      <c r="AL83"/>
      <c r="AM83"/>
      <c r="AN83"/>
      <c r="AO83"/>
      <c r="AP83"/>
      <c r="AQ83"/>
    </row>
    <row r="84" spans="1:43" x14ac:dyDescent="0.3">
      <c r="A84" s="173" t="s">
        <v>67</v>
      </c>
      <c r="B84" s="174" t="s">
        <v>415</v>
      </c>
      <c r="C84" s="175"/>
      <c r="D84" s="175"/>
      <c r="E84" s="175"/>
      <c r="F84" s="175"/>
      <c r="G84" s="175"/>
      <c r="H84" s="175"/>
      <c r="I84" s="175"/>
      <c r="J84" s="175"/>
      <c r="K84" s="175"/>
      <c r="L84" s="175"/>
      <c r="M84" s="175"/>
      <c r="N84" s="175"/>
      <c r="O84" s="175"/>
      <c r="P84" s="175"/>
      <c r="Q84" s="175"/>
      <c r="R84" s="175"/>
      <c r="S84" s="175"/>
      <c r="T84" s="175"/>
      <c r="U84" s="175"/>
      <c r="V84" s="175"/>
      <c r="W84" s="175"/>
      <c r="X84" s="175"/>
      <c r="Y84" s="175"/>
      <c r="Z84" s="175"/>
      <c r="AA84" s="175"/>
      <c r="AB84" s="175"/>
      <c r="AC84" s="175"/>
      <c r="AD84" s="175"/>
    </row>
    <row r="86" spans="1:43" s="138" customFormat="1" ht="18" x14ac:dyDescent="0.35">
      <c r="A86" s="117" t="s">
        <v>1119</v>
      </c>
      <c r="B86" s="117" t="s">
        <v>416</v>
      </c>
      <c r="C86" s="117"/>
      <c r="D86" s="117"/>
      <c r="E86" s="117"/>
      <c r="F86" s="117"/>
      <c r="G86" s="117"/>
      <c r="H86" s="117"/>
      <c r="I86" s="117"/>
      <c r="J86" s="117"/>
      <c r="K86" s="117"/>
      <c r="L86" s="117"/>
      <c r="M86" s="117"/>
      <c r="N86" s="117"/>
      <c r="O86" s="117"/>
      <c r="P86" s="117"/>
      <c r="Q86" s="117"/>
      <c r="R86" s="117"/>
      <c r="S86" s="117"/>
      <c r="T86" s="117"/>
      <c r="U86" s="117"/>
      <c r="V86" s="117"/>
      <c r="W86" s="117"/>
      <c r="X86" s="117"/>
      <c r="Y86" s="117"/>
      <c r="Z86" s="117"/>
      <c r="AA86" s="117"/>
      <c r="AB86" s="117"/>
      <c r="AC86" s="117"/>
      <c r="AD86" s="117"/>
      <c r="AE86" s="117"/>
      <c r="AF86" s="117"/>
      <c r="AG86" s="117"/>
      <c r="AH86" s="117"/>
      <c r="AI86" s="117"/>
      <c r="AJ86" s="117"/>
      <c r="AK86" s="117"/>
      <c r="AL86" s="117"/>
      <c r="AM86" s="117"/>
      <c r="AN86" s="117"/>
      <c r="AO86" s="117"/>
      <c r="AP86" s="117"/>
      <c r="AQ86" s="117"/>
    </row>
    <row r="87" spans="1:43" x14ac:dyDescent="0.3">
      <c r="A87" s="140" t="s">
        <v>417</v>
      </c>
      <c r="B87" s="140"/>
      <c r="AD87" s="141"/>
      <c r="AE87" s="141"/>
      <c r="AF87" s="141"/>
      <c r="AG87" s="141"/>
      <c r="AH87" s="141"/>
      <c r="AI87" s="141"/>
      <c r="AJ87" s="141"/>
      <c r="AK87" s="141"/>
      <c r="AL87" s="141"/>
      <c r="AM87" s="141"/>
      <c r="AN87" s="141"/>
      <c r="AO87" s="141"/>
    </row>
    <row r="88" spans="1:43" x14ac:dyDescent="0.3">
      <c r="A88" s="1" t="s">
        <v>61</v>
      </c>
      <c r="B88" s="50">
        <v>2008</v>
      </c>
      <c r="C88" s="50">
        <v>2009</v>
      </c>
      <c r="D88" s="50">
        <v>2010</v>
      </c>
      <c r="E88" s="50">
        <v>2011</v>
      </c>
      <c r="F88" s="50">
        <v>2012</v>
      </c>
      <c r="G88" s="50">
        <v>2013</v>
      </c>
      <c r="H88" s="50">
        <v>2014</v>
      </c>
      <c r="I88" s="50">
        <v>2015</v>
      </c>
      <c r="J88" s="50">
        <v>2016</v>
      </c>
      <c r="K88" s="50">
        <v>2017</v>
      </c>
      <c r="L88" s="50">
        <v>2018</v>
      </c>
      <c r="M88" s="50">
        <v>2019</v>
      </c>
      <c r="N88" s="129"/>
      <c r="O88" s="129"/>
      <c r="P88" s="129"/>
      <c r="Q88" s="129"/>
      <c r="R88" s="129"/>
      <c r="S88" s="129"/>
      <c r="T88" s="129"/>
      <c r="U88" s="129"/>
      <c r="V88" s="129"/>
      <c r="W88" s="129"/>
      <c r="X88" s="129"/>
      <c r="Y88" s="129"/>
      <c r="Z88" s="129"/>
      <c r="AA88" s="129"/>
      <c r="AB88" s="129"/>
      <c r="AC88" s="177"/>
      <c r="AD88" s="146"/>
      <c r="AE88" s="146"/>
      <c r="AF88" s="146"/>
      <c r="AG88" s="146"/>
      <c r="AH88" s="146"/>
      <c r="AI88" s="146"/>
      <c r="AJ88" s="146"/>
      <c r="AK88" s="146"/>
      <c r="AL88" s="146"/>
      <c r="AM88" s="146"/>
      <c r="AN88" s="141"/>
      <c r="AO88" s="141"/>
    </row>
    <row r="89" spans="1:43" x14ac:dyDescent="0.3">
      <c r="A89" s="1" t="s">
        <v>418</v>
      </c>
      <c r="B89" s="70">
        <v>256176491</v>
      </c>
      <c r="C89" s="70">
        <v>257713464</v>
      </c>
      <c r="D89" s="70">
        <v>264674855</v>
      </c>
      <c r="E89" s="70">
        <v>275777172</v>
      </c>
      <c r="F89" s="70">
        <v>270730741</v>
      </c>
      <c r="G89" s="70">
        <v>267764123</v>
      </c>
      <c r="H89" s="70">
        <v>270239233</v>
      </c>
      <c r="I89" s="70">
        <v>268838432</v>
      </c>
      <c r="J89" s="70">
        <v>274253451</v>
      </c>
      <c r="K89" s="70">
        <v>285833190</v>
      </c>
      <c r="L89" s="70">
        <v>282134993</v>
      </c>
      <c r="M89" s="70">
        <v>271735317</v>
      </c>
      <c r="N89" s="129"/>
      <c r="O89" s="129"/>
      <c r="P89" s="129"/>
      <c r="Q89" s="129"/>
      <c r="R89" s="129"/>
      <c r="S89" s="129"/>
      <c r="T89" s="129"/>
      <c r="U89" s="129"/>
      <c r="V89" s="129"/>
      <c r="W89" s="129"/>
      <c r="X89" s="129"/>
      <c r="Y89" s="129"/>
      <c r="Z89" s="129"/>
      <c r="AA89" s="129"/>
      <c r="AB89" s="129"/>
      <c r="AC89" s="177"/>
      <c r="AD89" s="146"/>
      <c r="AE89" s="146"/>
      <c r="AF89" s="146"/>
      <c r="AG89" s="146"/>
      <c r="AH89" s="146"/>
      <c r="AI89" s="146"/>
      <c r="AJ89" s="146"/>
      <c r="AK89" s="146"/>
      <c r="AL89" s="146"/>
      <c r="AM89" s="146"/>
      <c r="AN89" s="141"/>
      <c r="AO89" s="141"/>
    </row>
    <row r="90" spans="1:43" x14ac:dyDescent="0.3">
      <c r="A90" s="140" t="s">
        <v>67</v>
      </c>
      <c r="B90" s="176" t="s">
        <v>419</v>
      </c>
      <c r="AD90" s="141"/>
      <c r="AE90" s="141"/>
      <c r="AF90" s="141"/>
      <c r="AG90" s="141"/>
      <c r="AH90" s="141"/>
      <c r="AI90" s="141"/>
      <c r="AJ90" s="141"/>
      <c r="AK90" s="141"/>
      <c r="AL90" s="141"/>
      <c r="AM90" s="141"/>
      <c r="AN90" s="141"/>
      <c r="AO90" s="141"/>
    </row>
    <row r="92" spans="1:43" x14ac:dyDescent="0.3">
      <c r="A92" s="140" t="s">
        <v>417</v>
      </c>
    </row>
    <row r="93" spans="1:43" x14ac:dyDescent="0.3">
      <c r="A93" s="103" t="s">
        <v>61</v>
      </c>
      <c r="B93">
        <v>2004</v>
      </c>
      <c r="C93">
        <v>2005</v>
      </c>
      <c r="D93">
        <v>2007</v>
      </c>
      <c r="E93">
        <v>2009</v>
      </c>
      <c r="F93">
        <v>2010</v>
      </c>
      <c r="G93">
        <v>2012</v>
      </c>
      <c r="H93">
        <v>2014</v>
      </c>
      <c r="I93">
        <v>2016</v>
      </c>
      <c r="J93">
        <v>2018</v>
      </c>
      <c r="K93" s="129"/>
      <c r="L93" s="129"/>
      <c r="M93" s="129"/>
      <c r="N93" s="129"/>
      <c r="O93" s="129"/>
      <c r="P93" s="129"/>
      <c r="Q93" s="129"/>
      <c r="R93" s="129"/>
      <c r="S93" s="129"/>
      <c r="T93" s="129"/>
      <c r="U93" s="129"/>
      <c r="V93" s="129"/>
      <c r="W93" s="129"/>
      <c r="X93" s="129"/>
      <c r="Y93" s="129"/>
      <c r="Z93" s="129"/>
      <c r="AA93" s="129"/>
      <c r="AB93" s="129"/>
      <c r="AC93" s="129"/>
    </row>
    <row r="94" spans="1:43" x14ac:dyDescent="0.3">
      <c r="A94" s="103" t="s">
        <v>989</v>
      </c>
      <c r="B94" s="70">
        <v>113424.9471</v>
      </c>
      <c r="C94" s="70">
        <v>114803.43829999999</v>
      </c>
      <c r="D94" s="70">
        <v>104259.77559999999</v>
      </c>
      <c r="E94" s="70">
        <v>94119.255099999995</v>
      </c>
      <c r="F94" s="70">
        <v>93300.237200000003</v>
      </c>
      <c r="G94" s="70">
        <v>102968.30457509354</v>
      </c>
      <c r="H94" s="70">
        <v>52080.067595758606</v>
      </c>
      <c r="I94" s="70">
        <v>47395.743999999999</v>
      </c>
      <c r="J94" s="70">
        <v>47113.722000000002</v>
      </c>
      <c r="K94" s="129"/>
      <c r="L94" s="129"/>
      <c r="M94" s="129"/>
      <c r="N94" s="129"/>
      <c r="O94" s="129"/>
      <c r="P94" s="129"/>
      <c r="Q94" s="129"/>
      <c r="R94" s="129"/>
      <c r="S94" s="129"/>
      <c r="T94" s="129"/>
      <c r="U94" s="129"/>
      <c r="V94" s="129"/>
      <c r="W94" s="129"/>
      <c r="X94" s="129"/>
      <c r="Y94" s="129"/>
      <c r="Z94" s="129"/>
      <c r="AA94" s="129"/>
      <c r="AB94" s="129"/>
      <c r="AC94" s="129"/>
    </row>
    <row r="95" spans="1:43" x14ac:dyDescent="0.3">
      <c r="A95" s="103" t="s">
        <v>673</v>
      </c>
      <c r="B95" s="70">
        <f t="shared" ref="B95:J95" si="3">B94*ton_to_MT</f>
        <v>102897.4106349135</v>
      </c>
      <c r="C95" s="70">
        <f t="shared" si="3"/>
        <v>104147.95717418549</v>
      </c>
      <c r="D95" s="70">
        <f t="shared" si="3"/>
        <v>94582.904527685983</v>
      </c>
      <c r="E95" s="70">
        <f t="shared" si="3"/>
        <v>85383.576437893484</v>
      </c>
      <c r="F95" s="70">
        <f t="shared" si="3"/>
        <v>84640.575684281997</v>
      </c>
      <c r="G95" s="70">
        <f t="shared" si="3"/>
        <v>93411.30138595622</v>
      </c>
      <c r="H95" s="70">
        <f t="shared" si="3"/>
        <v>47246.256121858263</v>
      </c>
      <c r="I95" s="70">
        <f t="shared" si="3"/>
        <v>42996.708020639991</v>
      </c>
      <c r="J95" s="70">
        <f t="shared" si="3"/>
        <v>42740.861892569999</v>
      </c>
      <c r="K95" s="129"/>
      <c r="L95" s="129"/>
      <c r="M95" s="129"/>
      <c r="N95" s="129"/>
      <c r="O95" s="129"/>
      <c r="P95" s="129"/>
      <c r="Q95" s="129"/>
      <c r="R95" s="129"/>
      <c r="S95" s="129"/>
      <c r="T95" s="129"/>
      <c r="U95" s="129"/>
      <c r="V95" s="129"/>
      <c r="W95" s="129"/>
      <c r="X95" s="129"/>
      <c r="Y95" s="129"/>
      <c r="Z95" s="129"/>
      <c r="AA95" s="129"/>
      <c r="AB95" s="129"/>
      <c r="AC95" s="129"/>
    </row>
    <row r="96" spans="1:43" x14ac:dyDescent="0.3">
      <c r="A96" s="143" t="s">
        <v>67</v>
      </c>
      <c r="B96" s="139" t="s">
        <v>990</v>
      </c>
    </row>
    <row r="98" spans="1:1" x14ac:dyDescent="0.3">
      <c r="A98" s="140"/>
    </row>
  </sheetData>
  <dataValidations disablePrompts="1" count="1">
    <dataValidation type="list" allowBlank="1" showInputMessage="1" showErrorMessage="1" sqref="A16 A24 A32" xr:uid="{00000000-0002-0000-0700-000000000000}">
      <formula1>"Residential, Commercial, Industrial, Commercial and Industrial"</formula1>
    </dataValidation>
  </dataValidations>
  <hyperlinks>
    <hyperlink ref="B57" r:id="rId1" xr:uid="{00000000-0004-0000-0700-000000000000}"/>
    <hyperlink ref="B90" r:id="rId2" xr:uid="{00000000-0004-0000-0700-000001000000}"/>
    <hyperlink ref="B51" r:id="rId3" xr:uid="{00000000-0004-0000-0700-000002000000}"/>
    <hyperlink ref="B84" r:id="rId4" location="SupplyDistribution" xr:uid="{00000000-0004-0000-0700-000003000000}"/>
    <hyperlink ref="B96" r:id="rId5" xr:uid="{AFC81DB0-E024-4106-BB09-E57F90C1C544}"/>
  </hyperlinks>
  <pageMargins left="0.7" right="0.7" top="0.75" bottom="0.75" header="0.3" footer="0.3"/>
  <pageSetup orientation="portrait" horizontalDpi="300" verticalDpi="300" r:id="rId6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1">
    <tabColor theme="4" tint="0.39997558519241921"/>
  </sheetPr>
  <dimension ref="A1:AE85"/>
  <sheetViews>
    <sheetView workbookViewId="0">
      <selection activeCell="A3" sqref="A3"/>
    </sheetView>
  </sheetViews>
  <sheetFormatPr defaultRowHeight="14.4" x14ac:dyDescent="0.3"/>
  <cols>
    <col min="1" max="1" width="20.33203125" style="133" customWidth="1"/>
    <col min="2" max="2" width="15.6640625" style="133" bestFit="1" customWidth="1"/>
    <col min="3" max="4" width="12.5546875" style="133" bestFit="1" customWidth="1"/>
    <col min="5" max="5" width="12" style="133" bestFit="1" customWidth="1"/>
    <col min="6" max="6" width="10" style="133" bestFit="1" customWidth="1"/>
    <col min="7" max="9" width="9" style="133" bestFit="1" customWidth="1"/>
    <col min="10" max="10" width="9.109375" style="133" bestFit="1" customWidth="1"/>
    <col min="11" max="16384" width="8.88671875" style="133"/>
  </cols>
  <sheetData>
    <row r="1" spans="1:31" s="137" customFormat="1" ht="25.8" x14ac:dyDescent="0.5">
      <c r="A1" s="118" t="s">
        <v>420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118"/>
      <c r="S1" s="118"/>
      <c r="T1" s="118"/>
      <c r="U1" s="118"/>
      <c r="V1" s="118"/>
      <c r="W1" s="118"/>
      <c r="X1" s="118"/>
      <c r="Y1" s="118"/>
      <c r="Z1" s="118"/>
      <c r="AA1" s="118"/>
      <c r="AB1" s="118"/>
      <c r="AC1" s="118"/>
      <c r="AD1" s="118"/>
      <c r="AE1" s="118"/>
    </row>
    <row r="3" spans="1:31" x14ac:dyDescent="0.3">
      <c r="A3" s="140"/>
    </row>
    <row r="5" spans="1:31" s="138" customFormat="1" ht="18" x14ac:dyDescent="0.35">
      <c r="A5" s="117" t="s">
        <v>805</v>
      </c>
      <c r="B5" s="117" t="s">
        <v>421</v>
      </c>
      <c r="C5" s="117"/>
      <c r="D5" s="117"/>
      <c r="E5" s="117"/>
      <c r="F5" s="117"/>
      <c r="G5" s="117"/>
      <c r="H5" s="117"/>
      <c r="I5" s="117"/>
      <c r="J5" s="117"/>
      <c r="K5" s="117"/>
      <c r="L5" s="117"/>
      <c r="M5" s="117"/>
      <c r="N5" s="117"/>
      <c r="O5" s="117"/>
      <c r="P5" s="117"/>
      <c r="Q5" s="117"/>
      <c r="R5" s="117"/>
      <c r="S5" s="117"/>
      <c r="T5" s="117"/>
      <c r="U5" s="117"/>
      <c r="V5" s="117"/>
      <c r="W5" s="117"/>
      <c r="X5" s="117"/>
      <c r="Y5" s="117"/>
      <c r="Z5" s="117"/>
      <c r="AA5" s="117"/>
      <c r="AB5" s="117"/>
      <c r="AC5" s="117"/>
      <c r="AD5" s="117"/>
      <c r="AE5" s="117"/>
    </row>
    <row r="6" spans="1:31" x14ac:dyDescent="0.3">
      <c r="A6" t="s">
        <v>61</v>
      </c>
      <c r="B6">
        <v>2015</v>
      </c>
      <c r="C6">
        <v>2016</v>
      </c>
      <c r="D6">
        <v>2017</v>
      </c>
      <c r="E6">
        <v>2018</v>
      </c>
      <c r="F6" s="129"/>
      <c r="G6" s="129"/>
      <c r="H6" s="129"/>
      <c r="I6" s="129"/>
      <c r="J6" s="129"/>
      <c r="K6" s="129"/>
      <c r="L6" s="129"/>
      <c r="M6" s="129"/>
      <c r="N6" s="129"/>
      <c r="O6" s="129"/>
      <c r="P6" s="129"/>
      <c r="Q6" s="129"/>
    </row>
    <row r="7" spans="1:31" x14ac:dyDescent="0.3">
      <c r="A7" t="s">
        <v>422</v>
      </c>
      <c r="B7" s="76">
        <v>240589020</v>
      </c>
      <c r="C7" s="77">
        <v>221943371</v>
      </c>
      <c r="D7" s="77">
        <v>233661981</v>
      </c>
      <c r="E7" s="77">
        <v>234362967</v>
      </c>
      <c r="F7" s="129"/>
      <c r="G7" s="129"/>
      <c r="H7" s="129"/>
      <c r="I7" s="129"/>
      <c r="J7" s="129"/>
      <c r="K7" s="129"/>
      <c r="L7" s="129"/>
      <c r="M7" s="129"/>
      <c r="N7" s="129"/>
      <c r="O7" s="129"/>
      <c r="P7" s="129"/>
      <c r="Q7" s="129"/>
    </row>
    <row r="8" spans="1:31" x14ac:dyDescent="0.3">
      <c r="A8" t="s">
        <v>423</v>
      </c>
      <c r="B8" s="78">
        <v>545340295</v>
      </c>
      <c r="C8" s="79">
        <v>521890662</v>
      </c>
      <c r="D8" s="79">
        <v>541304995</v>
      </c>
      <c r="E8" s="79">
        <v>542928910</v>
      </c>
      <c r="F8" s="129"/>
      <c r="G8" s="129"/>
      <c r="H8" s="129"/>
      <c r="I8" s="129"/>
      <c r="J8" s="129"/>
      <c r="K8" s="129"/>
      <c r="L8" s="129"/>
      <c r="M8" s="129"/>
      <c r="N8" s="129"/>
      <c r="O8" s="129"/>
      <c r="P8" s="129"/>
      <c r="Q8" s="129"/>
    </row>
    <row r="9" spans="1:31" x14ac:dyDescent="0.3">
      <c r="A9" s="1" t="s">
        <v>85</v>
      </c>
      <c r="B9" s="75">
        <f>SUM(B7:B8)</f>
        <v>785929315</v>
      </c>
      <c r="C9" s="75">
        <f t="shared" ref="C9:E9" si="0">SUM(C7:C8)</f>
        <v>743834033</v>
      </c>
      <c r="D9" s="75">
        <f t="shared" si="0"/>
        <v>774966976</v>
      </c>
      <c r="E9" s="75">
        <f t="shared" si="0"/>
        <v>777291877</v>
      </c>
      <c r="F9"/>
      <c r="G9"/>
      <c r="H9"/>
      <c r="I9"/>
      <c r="J9"/>
      <c r="K9"/>
      <c r="L9"/>
      <c r="M9"/>
      <c r="N9"/>
      <c r="O9"/>
      <c r="P9"/>
      <c r="Q9"/>
    </row>
    <row r="10" spans="1:31" x14ac:dyDescent="0.3">
      <c r="A10" s="173" t="s">
        <v>67</v>
      </c>
      <c r="B10" s="178" t="s">
        <v>424</v>
      </c>
    </row>
    <row r="12" spans="1:31" s="138" customFormat="1" ht="18" x14ac:dyDescent="0.35">
      <c r="A12" s="117" t="s">
        <v>806</v>
      </c>
      <c r="B12" s="117" t="s">
        <v>425</v>
      </c>
      <c r="C12" s="117"/>
      <c r="D12" s="117"/>
      <c r="E12" s="117"/>
      <c r="F12" s="117"/>
      <c r="G12" s="117"/>
      <c r="H12" s="117"/>
      <c r="I12" s="117"/>
      <c r="J12" s="117"/>
      <c r="K12" s="117"/>
      <c r="L12" s="117"/>
      <c r="M12" s="117"/>
      <c r="N12" s="117"/>
      <c r="O12" s="117"/>
      <c r="P12" s="117"/>
      <c r="Q12" s="117"/>
      <c r="R12" s="117"/>
      <c r="S12" s="117"/>
      <c r="T12" s="117"/>
      <c r="U12" s="117"/>
      <c r="V12" s="117"/>
      <c r="W12" s="117"/>
      <c r="X12" s="117"/>
      <c r="Y12" s="117"/>
      <c r="Z12" s="117"/>
      <c r="AA12" s="117"/>
      <c r="AB12" s="117"/>
      <c r="AC12" s="117"/>
      <c r="AD12" s="117"/>
      <c r="AE12" s="117"/>
    </row>
    <row r="13" spans="1:31" x14ac:dyDescent="0.3">
      <c r="A13" s="35" t="s">
        <v>306</v>
      </c>
      <c r="B13" t="s">
        <v>426</v>
      </c>
      <c r="C13"/>
    </row>
    <row r="14" spans="1:31" x14ac:dyDescent="0.3">
      <c r="A14" t="s">
        <v>39</v>
      </c>
      <c r="B14" t="s">
        <v>427</v>
      </c>
      <c r="C14" t="s">
        <v>428</v>
      </c>
    </row>
    <row r="15" spans="1:31" x14ac:dyDescent="0.3">
      <c r="A15" s="7" t="s">
        <v>429</v>
      </c>
      <c r="B15" s="179">
        <v>8498</v>
      </c>
      <c r="C15" s="6">
        <f>B15/$B$28</f>
        <v>2.9624826566824934E-2</v>
      </c>
    </row>
    <row r="16" spans="1:31" x14ac:dyDescent="0.3">
      <c r="A16" s="7" t="s">
        <v>159</v>
      </c>
      <c r="B16" s="179">
        <v>142523</v>
      </c>
      <c r="C16" s="6">
        <f>B16/$B$28</f>
        <v>0.49684857105008123</v>
      </c>
    </row>
    <row r="17" spans="1:31" x14ac:dyDescent="0.3">
      <c r="A17" s="7" t="s">
        <v>160</v>
      </c>
      <c r="B17" s="179">
        <v>124035</v>
      </c>
      <c r="C17" s="6">
        <f>B17/$B$28</f>
        <v>0.43239766571147692</v>
      </c>
    </row>
    <row r="18" spans="1:31" x14ac:dyDescent="0.3">
      <c r="A18" s="7" t="s">
        <v>430</v>
      </c>
      <c r="B18" s="179">
        <v>7334</v>
      </c>
      <c r="C18" s="6">
        <f>B18/$B$28</f>
        <v>2.5567013184407399E-2</v>
      </c>
    </row>
    <row r="19" spans="1:31" x14ac:dyDescent="0.3">
      <c r="A19" s="7" t="s">
        <v>431</v>
      </c>
      <c r="B19" s="161">
        <v>64</v>
      </c>
      <c r="C19" s="6"/>
    </row>
    <row r="20" spans="1:31" x14ac:dyDescent="0.3">
      <c r="A20" s="14" t="s">
        <v>40</v>
      </c>
      <c r="B20" s="161">
        <v>121</v>
      </c>
      <c r="C20" s="6"/>
    </row>
    <row r="21" spans="1:31" x14ac:dyDescent="0.3">
      <c r="A21" s="7" t="s">
        <v>432</v>
      </c>
      <c r="B21" s="161">
        <v>599</v>
      </c>
      <c r="C21" s="6"/>
    </row>
    <row r="22" spans="1:31" x14ac:dyDescent="0.3">
      <c r="A22" s="7" t="s">
        <v>162</v>
      </c>
      <c r="B22" s="161">
        <v>63</v>
      </c>
      <c r="C22" s="6">
        <f t="shared" ref="C22:C27" si="1">B22/$B$28</f>
        <v>2.1962392018239245E-4</v>
      </c>
    </row>
    <row r="23" spans="1:31" x14ac:dyDescent="0.3">
      <c r="A23" s="7" t="s">
        <v>433</v>
      </c>
      <c r="B23" s="179">
        <v>2195</v>
      </c>
      <c r="C23" s="6">
        <f t="shared" si="1"/>
        <v>7.6519762666722446E-3</v>
      </c>
    </row>
    <row r="24" spans="1:31" x14ac:dyDescent="0.3">
      <c r="A24" s="7" t="s">
        <v>434</v>
      </c>
      <c r="B24" s="161">
        <v>92</v>
      </c>
      <c r="C24" s="6">
        <f t="shared" si="1"/>
        <v>3.2072064534571592E-4</v>
      </c>
    </row>
    <row r="25" spans="1:31" x14ac:dyDescent="0.3">
      <c r="A25" s="7" t="s">
        <v>165</v>
      </c>
      <c r="B25" s="179">
        <v>1061</v>
      </c>
      <c r="C25" s="6">
        <f t="shared" si="1"/>
        <v>3.6987457033891805E-3</v>
      </c>
    </row>
    <row r="26" spans="1:31" x14ac:dyDescent="0.3">
      <c r="A26" s="7" t="s">
        <v>435</v>
      </c>
      <c r="B26" s="161">
        <v>502</v>
      </c>
      <c r="C26" s="6">
        <f t="shared" si="1"/>
        <v>1.7500191735168413E-3</v>
      </c>
    </row>
    <row r="27" spans="1:31" x14ac:dyDescent="0.3">
      <c r="A27" s="7" t="s">
        <v>436</v>
      </c>
      <c r="B27" s="161">
        <v>551</v>
      </c>
      <c r="C27" s="6">
        <f t="shared" si="1"/>
        <v>1.9208377781031465E-3</v>
      </c>
    </row>
    <row r="28" spans="1:31" x14ac:dyDescent="0.3">
      <c r="A28" s="1" t="s">
        <v>437</v>
      </c>
      <c r="B28" s="26">
        <f>SUM(B15:B27)-SUM(B19:B21)</f>
        <v>286854</v>
      </c>
      <c r="C28" s="18">
        <f>SUM(C15:C27)-SUM(C19:C21)</f>
        <v>0.99999999999999978</v>
      </c>
    </row>
    <row r="29" spans="1:31" x14ac:dyDescent="0.3">
      <c r="A29" s="39" t="s">
        <v>67</v>
      </c>
      <c r="B29" s="26" t="s">
        <v>424</v>
      </c>
      <c r="C29" s="18"/>
    </row>
    <row r="30" spans="1:31" x14ac:dyDescent="0.3">
      <c r="A30" s="140"/>
      <c r="B30" s="167"/>
      <c r="C30" s="180"/>
    </row>
    <row r="31" spans="1:31" s="138" customFormat="1" ht="18" x14ac:dyDescent="0.35">
      <c r="A31" s="117" t="s">
        <v>810</v>
      </c>
      <c r="B31" s="117" t="s">
        <v>438</v>
      </c>
      <c r="C31" s="117"/>
      <c r="D31" s="117"/>
      <c r="E31" s="117"/>
      <c r="F31" s="117"/>
      <c r="G31" s="117"/>
      <c r="H31" s="117"/>
      <c r="I31" s="117"/>
      <c r="J31" s="117"/>
      <c r="K31" s="117"/>
      <c r="L31" s="117"/>
      <c r="M31" s="117"/>
      <c r="N31" s="117"/>
      <c r="O31" s="117"/>
      <c r="P31" s="117"/>
      <c r="Q31" s="117"/>
      <c r="R31" s="117"/>
      <c r="S31" s="117"/>
      <c r="T31" s="117"/>
      <c r="U31" s="117"/>
      <c r="V31" s="117"/>
      <c r="W31" s="117"/>
      <c r="X31" s="117"/>
      <c r="Y31" s="117"/>
      <c r="Z31" s="117"/>
      <c r="AA31" s="117"/>
      <c r="AB31" s="117"/>
      <c r="AC31" s="117"/>
      <c r="AD31" s="117"/>
      <c r="AE31" s="117"/>
    </row>
    <row r="32" spans="1:31" x14ac:dyDescent="0.3">
      <c r="A32"/>
      <c r="B32" t="s">
        <v>439</v>
      </c>
      <c r="C32" s="4" t="s">
        <v>440</v>
      </c>
      <c r="D32" t="s">
        <v>441</v>
      </c>
    </row>
    <row r="33" spans="1:31" x14ac:dyDescent="0.3">
      <c r="A33" s="4" t="s">
        <v>442</v>
      </c>
      <c r="B33" s="162">
        <v>643</v>
      </c>
      <c r="C33" s="181">
        <v>1037</v>
      </c>
      <c r="D33" s="6">
        <f>C33/SUM(B16:B17)</f>
        <v>3.8903353116394933E-3</v>
      </c>
    </row>
    <row r="34" spans="1:31" x14ac:dyDescent="0.3">
      <c r="A34" s="4" t="s">
        <v>443</v>
      </c>
      <c r="B34" s="162">
        <v>451</v>
      </c>
      <c r="C34" s="181">
        <v>637</v>
      </c>
      <c r="D34" s="6">
        <f>C34/SUM(B17:B18)</f>
        <v>4.8489369638194703E-3</v>
      </c>
    </row>
    <row r="35" spans="1:31" x14ac:dyDescent="0.3">
      <c r="A35" s="173" t="s">
        <v>67</v>
      </c>
      <c r="B35" s="139" t="s">
        <v>444</v>
      </c>
    </row>
    <row r="36" spans="1:31" x14ac:dyDescent="0.3">
      <c r="B36" s="133" t="s">
        <v>445</v>
      </c>
    </row>
    <row r="39" spans="1:31" s="138" customFormat="1" ht="18" x14ac:dyDescent="0.35">
      <c r="A39" s="117" t="s">
        <v>818</v>
      </c>
      <c r="B39" s="117" t="s">
        <v>446</v>
      </c>
      <c r="C39" s="117"/>
      <c r="D39" s="117"/>
      <c r="E39" s="117"/>
      <c r="F39" s="117"/>
      <c r="G39" s="117"/>
      <c r="H39" s="117"/>
      <c r="I39" s="117"/>
      <c r="J39" s="117"/>
      <c r="K39" s="117"/>
      <c r="L39" s="117"/>
      <c r="M39" s="117"/>
      <c r="N39" s="117"/>
      <c r="O39" s="117"/>
      <c r="P39" s="117"/>
      <c r="Q39" s="117"/>
      <c r="R39" s="117"/>
      <c r="S39" s="117"/>
      <c r="T39" s="117"/>
      <c r="U39" s="117"/>
      <c r="V39" s="117"/>
      <c r="W39" s="117"/>
      <c r="X39" s="117"/>
      <c r="Y39" s="117"/>
      <c r="Z39" s="117"/>
      <c r="AA39" s="117"/>
      <c r="AB39" s="117"/>
      <c r="AC39" s="117"/>
      <c r="AD39" s="117"/>
      <c r="AE39" s="117"/>
    </row>
    <row r="40" spans="1:31" ht="15" thickBot="1" x14ac:dyDescent="0.35">
      <c r="A40" s="140" t="s">
        <v>37</v>
      </c>
      <c r="C40" s="141"/>
      <c r="D40" s="141"/>
      <c r="E40" s="141"/>
      <c r="F40" s="141"/>
      <c r="G40" s="141"/>
      <c r="H40" s="141"/>
      <c r="I40" s="141"/>
      <c r="J40" s="141"/>
      <c r="K40" s="141"/>
      <c r="L40" s="141"/>
      <c r="M40" s="141"/>
      <c r="N40" s="141"/>
      <c r="O40" s="141"/>
      <c r="P40" s="141"/>
      <c r="Q40" s="141"/>
      <c r="R40" s="141"/>
      <c r="S40" s="141"/>
    </row>
    <row r="41" spans="1:31" s="140" customFormat="1" x14ac:dyDescent="0.3">
      <c r="A41" s="1" t="s">
        <v>61</v>
      </c>
      <c r="B41" s="187"/>
      <c r="C41" s="124">
        <v>2015</v>
      </c>
      <c r="D41" s="124">
        <v>2016</v>
      </c>
      <c r="E41" s="124">
        <v>2017</v>
      </c>
      <c r="F41" s="124">
        <v>2018</v>
      </c>
      <c r="G41" s="129"/>
      <c r="H41" s="129"/>
      <c r="I41" s="129"/>
      <c r="J41" s="129"/>
      <c r="K41" s="129"/>
      <c r="L41" s="129"/>
      <c r="M41" s="129"/>
      <c r="N41" s="129"/>
      <c r="O41" s="129"/>
      <c r="P41" s="129"/>
      <c r="Q41" s="129"/>
      <c r="R41" s="129"/>
      <c r="S41" s="129"/>
      <c r="T41" s="129"/>
      <c r="U41" s="129"/>
      <c r="V41" s="129"/>
      <c r="W41" s="129"/>
      <c r="X41" s="129"/>
      <c r="Y41" s="129"/>
      <c r="Z41" s="129"/>
      <c r="AA41" s="129"/>
      <c r="AB41" s="129"/>
      <c r="AC41" s="129"/>
      <c r="AD41" s="129"/>
      <c r="AE41" s="129"/>
    </row>
    <row r="42" spans="1:31" x14ac:dyDescent="0.3">
      <c r="A42" t="s">
        <v>447</v>
      </c>
      <c r="B42" s="182"/>
      <c r="C42" s="107">
        <f>D42</f>
        <v>60453</v>
      </c>
      <c r="D42" s="24">
        <v>60453</v>
      </c>
      <c r="E42" s="24">
        <v>44023</v>
      </c>
      <c r="F42" s="24">
        <v>41843</v>
      </c>
      <c r="G42" s="129"/>
      <c r="H42" s="129"/>
      <c r="I42" s="129"/>
      <c r="J42" s="129"/>
      <c r="K42" s="129"/>
      <c r="L42" s="129"/>
      <c r="M42" s="129"/>
      <c r="N42" s="129"/>
      <c r="O42" s="129"/>
      <c r="P42" s="129"/>
      <c r="Q42" s="129"/>
      <c r="R42" s="129"/>
      <c r="S42" s="129"/>
      <c r="T42" s="129"/>
      <c r="U42" s="129"/>
      <c r="V42" s="129"/>
      <c r="W42" s="129"/>
      <c r="X42" s="129"/>
      <c r="Y42" s="129"/>
      <c r="Z42" s="129"/>
      <c r="AA42" s="129"/>
      <c r="AB42" s="129"/>
      <c r="AC42" s="129"/>
      <c r="AD42" s="129"/>
      <c r="AE42" s="129"/>
    </row>
    <row r="43" spans="1:31" x14ac:dyDescent="0.3">
      <c r="A43" t="s">
        <v>448</v>
      </c>
      <c r="B43" s="183">
        <v>0.1</v>
      </c>
      <c r="C43" s="107">
        <f t="shared" ref="C43:C45" si="2">D43</f>
        <v>728127</v>
      </c>
      <c r="D43" s="24">
        <v>728127</v>
      </c>
      <c r="E43" s="24">
        <v>848019</v>
      </c>
      <c r="F43" s="24">
        <v>868931</v>
      </c>
      <c r="G43" s="129"/>
      <c r="H43" s="129"/>
      <c r="I43" s="129"/>
      <c r="J43" s="129"/>
      <c r="K43" s="129"/>
      <c r="L43" s="129"/>
      <c r="M43" s="129"/>
      <c r="N43" s="129"/>
      <c r="O43" s="129"/>
      <c r="P43" s="129"/>
      <c r="Q43" s="129"/>
      <c r="R43" s="129"/>
      <c r="S43" s="129"/>
      <c r="T43" s="129"/>
      <c r="U43" s="129"/>
      <c r="V43" s="129"/>
      <c r="W43" s="129"/>
      <c r="X43" s="129"/>
      <c r="Y43" s="129"/>
      <c r="Z43" s="129"/>
      <c r="AA43" s="129"/>
      <c r="AB43" s="129"/>
      <c r="AC43" s="129"/>
      <c r="AD43" s="129"/>
      <c r="AE43" s="129"/>
    </row>
    <row r="44" spans="1:31" x14ac:dyDescent="0.3">
      <c r="A44" t="s">
        <v>449</v>
      </c>
      <c r="B44" s="182"/>
      <c r="C44" s="107">
        <f t="shared" si="2"/>
        <v>380425</v>
      </c>
      <c r="D44" s="24">
        <v>380425</v>
      </c>
      <c r="E44" s="24">
        <v>299354</v>
      </c>
      <c r="F44" s="24">
        <v>298535</v>
      </c>
      <c r="G44" s="129"/>
      <c r="H44" s="129"/>
      <c r="I44" s="129"/>
      <c r="J44" s="129"/>
      <c r="K44" s="129"/>
      <c r="L44" s="129"/>
      <c r="M44" s="129"/>
      <c r="N44" s="129"/>
      <c r="O44" s="129"/>
      <c r="P44" s="129"/>
      <c r="Q44" s="129"/>
      <c r="R44" s="129"/>
      <c r="S44" s="129"/>
      <c r="T44" s="129"/>
      <c r="U44" s="129"/>
      <c r="V44" s="129"/>
      <c r="W44" s="129"/>
      <c r="X44" s="129"/>
      <c r="Y44" s="129"/>
      <c r="Z44" s="129"/>
      <c r="AA44" s="129"/>
      <c r="AB44" s="129"/>
      <c r="AC44" s="129"/>
      <c r="AD44" s="129"/>
      <c r="AE44" s="129"/>
    </row>
    <row r="45" spans="1:31" ht="15" thickBot="1" x14ac:dyDescent="0.35">
      <c r="A45" t="s">
        <v>450</v>
      </c>
      <c r="B45" s="184">
        <v>0.1</v>
      </c>
      <c r="C45" s="107">
        <f t="shared" si="2"/>
        <v>3321648</v>
      </c>
      <c r="D45" s="24">
        <v>3321648</v>
      </c>
      <c r="E45" s="24">
        <v>3831379</v>
      </c>
      <c r="F45" s="24">
        <v>3785512</v>
      </c>
      <c r="G45" s="129"/>
      <c r="H45" s="129"/>
      <c r="I45" s="129"/>
      <c r="J45" s="129"/>
      <c r="K45" s="129"/>
      <c r="L45" s="129"/>
      <c r="M45" s="129"/>
      <c r="N45" s="129"/>
      <c r="O45" s="129"/>
      <c r="P45" s="129"/>
      <c r="Q45" s="129"/>
      <c r="R45" s="129"/>
      <c r="S45" s="129"/>
      <c r="T45" s="129"/>
      <c r="U45" s="129"/>
      <c r="V45" s="129"/>
      <c r="W45" s="129"/>
      <c r="X45" s="129"/>
      <c r="Y45" s="129"/>
      <c r="Z45" s="129"/>
      <c r="AA45" s="129"/>
      <c r="AB45" s="129"/>
      <c r="AC45" s="129"/>
      <c r="AD45" s="129"/>
      <c r="AE45" s="129"/>
    </row>
    <row r="46" spans="1:31" x14ac:dyDescent="0.3">
      <c r="C46" s="141"/>
      <c r="D46" s="141"/>
      <c r="E46" s="141"/>
      <c r="F46" s="141"/>
      <c r="G46" s="141"/>
      <c r="H46" s="141"/>
      <c r="I46" s="141"/>
      <c r="J46" s="141"/>
      <c r="K46" s="141"/>
      <c r="L46" s="141"/>
      <c r="M46" s="141"/>
      <c r="N46" s="141"/>
      <c r="O46" s="141"/>
      <c r="P46" s="141"/>
      <c r="Q46" s="141"/>
      <c r="R46" s="141"/>
      <c r="S46" s="141"/>
    </row>
    <row r="48" spans="1:31" s="141" customFormat="1" ht="15" thickBot="1" x14ac:dyDescent="0.35">
      <c r="A48" s="140" t="s">
        <v>350</v>
      </c>
      <c r="B48" s="133"/>
    </row>
    <row r="49" spans="1:31" s="143" customFormat="1" x14ac:dyDescent="0.3">
      <c r="A49" s="124" t="s">
        <v>61</v>
      </c>
      <c r="B49" s="187"/>
      <c r="C49" s="124">
        <v>2004</v>
      </c>
      <c r="D49" s="124">
        <v>2005</v>
      </c>
      <c r="E49" s="124">
        <v>2006</v>
      </c>
      <c r="F49" s="124">
        <v>2007</v>
      </c>
      <c r="G49" s="124">
        <v>2008</v>
      </c>
      <c r="H49" s="124">
        <v>2009</v>
      </c>
      <c r="I49" s="124">
        <v>2010</v>
      </c>
      <c r="J49" s="124">
        <v>2011</v>
      </c>
      <c r="K49" s="124">
        <v>2012</v>
      </c>
      <c r="L49" s="124">
        <v>2013</v>
      </c>
      <c r="M49" s="124">
        <v>2014</v>
      </c>
      <c r="N49" s="124">
        <v>2015</v>
      </c>
      <c r="O49" s="124">
        <v>2016</v>
      </c>
      <c r="P49" s="124">
        <v>2017</v>
      </c>
      <c r="Q49" s="124">
        <v>2018</v>
      </c>
      <c r="R49" s="124">
        <v>2019</v>
      </c>
      <c r="S49" s="129"/>
      <c r="T49" s="129"/>
      <c r="U49" s="129"/>
      <c r="V49" s="129"/>
      <c r="W49" s="129"/>
      <c r="X49" s="129"/>
      <c r="Y49" s="129"/>
      <c r="Z49" s="129"/>
      <c r="AA49" s="129"/>
      <c r="AB49" s="129"/>
      <c r="AC49" s="129"/>
      <c r="AD49" s="129"/>
      <c r="AE49" s="129"/>
    </row>
    <row r="50" spans="1:31" s="141" customFormat="1" x14ac:dyDescent="0.3">
      <c r="A50" s="50" t="s">
        <v>42</v>
      </c>
      <c r="B50" s="185">
        <v>0.85</v>
      </c>
      <c r="C50" s="73" t="s">
        <v>451</v>
      </c>
      <c r="D50" s="7" t="s">
        <v>451</v>
      </c>
      <c r="E50" s="69">
        <v>146131</v>
      </c>
      <c r="F50" s="69">
        <v>142956</v>
      </c>
      <c r="G50" s="69">
        <v>139202</v>
      </c>
      <c r="H50" s="69">
        <v>138269</v>
      </c>
      <c r="I50" s="69">
        <v>120242</v>
      </c>
      <c r="J50" s="69">
        <v>134353</v>
      </c>
      <c r="K50" s="69">
        <v>115647</v>
      </c>
      <c r="L50" s="69">
        <v>102505</v>
      </c>
      <c r="M50" s="69">
        <v>32925</v>
      </c>
      <c r="N50" s="69">
        <v>25015</v>
      </c>
      <c r="O50" s="69">
        <v>31174</v>
      </c>
      <c r="P50" s="69">
        <v>15209</v>
      </c>
      <c r="Q50" s="69">
        <v>21686</v>
      </c>
      <c r="R50" s="69">
        <v>15431</v>
      </c>
      <c r="S50" s="129"/>
      <c r="T50" s="129"/>
      <c r="U50" s="129"/>
      <c r="V50" s="129"/>
      <c r="W50" s="129"/>
      <c r="X50" s="129"/>
      <c r="Y50" s="129"/>
      <c r="Z50" s="129"/>
      <c r="AA50" s="129"/>
      <c r="AB50" s="129"/>
      <c r="AC50" s="129"/>
      <c r="AD50" s="129"/>
      <c r="AE50" s="129"/>
    </row>
    <row r="51" spans="1:31" s="141" customFormat="1" x14ac:dyDescent="0.3">
      <c r="A51" s="50" t="s">
        <v>42</v>
      </c>
      <c r="B51" s="185">
        <v>0.7</v>
      </c>
      <c r="C51" s="73" t="s">
        <v>451</v>
      </c>
      <c r="D51" s="7" t="s">
        <v>451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69">
        <v>53289</v>
      </c>
      <c r="N51" s="69">
        <v>40449</v>
      </c>
      <c r="O51" s="69">
        <v>32540</v>
      </c>
      <c r="P51" s="69">
        <v>26812</v>
      </c>
      <c r="Q51" s="69">
        <v>22916</v>
      </c>
      <c r="R51" s="69">
        <v>20286</v>
      </c>
      <c r="S51" s="129"/>
      <c r="T51" s="129"/>
      <c r="U51" s="129"/>
      <c r="V51" s="129"/>
      <c r="W51" s="129"/>
      <c r="X51" s="129"/>
      <c r="Y51" s="129"/>
      <c r="Z51" s="129"/>
      <c r="AA51" s="129"/>
      <c r="AB51" s="129"/>
      <c r="AC51" s="129"/>
      <c r="AD51" s="129"/>
      <c r="AE51" s="129"/>
    </row>
    <row r="52" spans="1:31" s="141" customFormat="1" x14ac:dyDescent="0.3">
      <c r="A52" s="50" t="s">
        <v>42</v>
      </c>
      <c r="B52" s="185">
        <v>0.8</v>
      </c>
      <c r="C52" s="73" t="s">
        <v>451</v>
      </c>
      <c r="D52" s="7" t="s">
        <v>451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69">
        <v>13429</v>
      </c>
      <c r="Q52" s="7">
        <v>0</v>
      </c>
      <c r="R52" s="7">
        <v>0</v>
      </c>
      <c r="S52" s="129"/>
      <c r="T52" s="129"/>
      <c r="U52" s="129"/>
      <c r="V52" s="129"/>
      <c r="W52" s="129"/>
      <c r="X52" s="129"/>
      <c r="Y52" s="129"/>
      <c r="Z52" s="129"/>
      <c r="AA52" s="129"/>
      <c r="AB52" s="129"/>
      <c r="AC52" s="129"/>
      <c r="AD52" s="129"/>
      <c r="AE52" s="129"/>
    </row>
    <row r="53" spans="1:31" s="141" customFormat="1" x14ac:dyDescent="0.3">
      <c r="A53" s="50" t="s">
        <v>452</v>
      </c>
      <c r="B53" s="185">
        <v>0.2</v>
      </c>
      <c r="C53" s="73" t="s">
        <v>451</v>
      </c>
      <c r="D53" s="7" t="s">
        <v>451</v>
      </c>
      <c r="E53" s="69">
        <v>39811</v>
      </c>
      <c r="F53" s="69">
        <v>67798</v>
      </c>
      <c r="G53" s="69">
        <v>68941</v>
      </c>
      <c r="H53" s="69">
        <v>70771</v>
      </c>
      <c r="I53" s="69">
        <v>25330</v>
      </c>
      <c r="J53" s="69">
        <v>57695</v>
      </c>
      <c r="K53" s="69">
        <v>62071</v>
      </c>
      <c r="L53" s="69">
        <v>62810</v>
      </c>
      <c r="M53" s="69">
        <v>36091</v>
      </c>
      <c r="N53" s="69">
        <v>42459</v>
      </c>
      <c r="O53" s="69">
        <v>39003</v>
      </c>
      <c r="P53" s="69">
        <v>49078</v>
      </c>
      <c r="Q53" s="69">
        <v>40645</v>
      </c>
      <c r="R53" s="69">
        <v>32362</v>
      </c>
      <c r="S53" s="129"/>
      <c r="T53" s="129"/>
      <c r="U53" s="129"/>
      <c r="V53" s="129"/>
      <c r="W53" s="129"/>
      <c r="X53" s="129"/>
      <c r="Y53" s="129"/>
      <c r="Z53" s="129"/>
      <c r="AA53" s="129"/>
      <c r="AB53" s="129"/>
      <c r="AC53" s="129"/>
      <c r="AD53" s="129"/>
      <c r="AE53" s="129"/>
    </row>
    <row r="54" spans="1:31" s="141" customFormat="1" x14ac:dyDescent="0.3">
      <c r="A54" s="50" t="s">
        <v>453</v>
      </c>
      <c r="B54" s="185">
        <v>0.05</v>
      </c>
      <c r="C54" s="73" t="s">
        <v>451</v>
      </c>
      <c r="D54" s="7" t="s">
        <v>451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69">
        <v>24573</v>
      </c>
      <c r="O54" s="69">
        <v>30563</v>
      </c>
      <c r="P54" s="69">
        <v>29290</v>
      </c>
      <c r="Q54" s="69">
        <v>35465</v>
      </c>
      <c r="R54" s="69">
        <v>37628</v>
      </c>
      <c r="S54" s="129"/>
      <c r="T54" s="129"/>
      <c r="U54" s="129"/>
      <c r="V54" s="129"/>
      <c r="W54" s="129"/>
      <c r="X54" s="129"/>
      <c r="Y54" s="129"/>
      <c r="Z54" s="129"/>
      <c r="AA54" s="129"/>
      <c r="AB54" s="129"/>
      <c r="AC54" s="129"/>
      <c r="AD54" s="129"/>
      <c r="AE54" s="129"/>
    </row>
    <row r="55" spans="1:31" s="141" customFormat="1" x14ac:dyDescent="0.3">
      <c r="A55" s="50" t="s">
        <v>36</v>
      </c>
      <c r="B55" s="72"/>
      <c r="C55" s="73" t="s">
        <v>451</v>
      </c>
      <c r="D55" s="7" t="s">
        <v>451</v>
      </c>
      <c r="E55" s="7">
        <v>0</v>
      </c>
      <c r="F55" s="7">
        <v>0</v>
      </c>
      <c r="G55" s="7">
        <v>0</v>
      </c>
      <c r="H55" s="7">
        <v>0</v>
      </c>
      <c r="I55" s="69">
        <v>11519</v>
      </c>
      <c r="J55" s="7">
        <v>0</v>
      </c>
      <c r="K55" s="7">
        <v>0</v>
      </c>
      <c r="L55" s="7">
        <v>0</v>
      </c>
      <c r="M55" s="69">
        <v>32320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129"/>
      <c r="T55" s="129"/>
      <c r="U55" s="129"/>
      <c r="V55" s="129"/>
      <c r="W55" s="129"/>
      <c r="X55" s="129"/>
      <c r="Y55" s="129"/>
      <c r="Z55" s="129"/>
      <c r="AA55" s="129"/>
      <c r="AB55" s="129"/>
      <c r="AC55" s="129"/>
      <c r="AD55" s="129"/>
      <c r="AE55" s="129"/>
    </row>
    <row r="56" spans="1:31" s="141" customFormat="1" ht="15" thickBot="1" x14ac:dyDescent="0.35">
      <c r="A56" s="50" t="s">
        <v>35</v>
      </c>
      <c r="B56" s="186"/>
      <c r="C56" s="73" t="s">
        <v>451</v>
      </c>
      <c r="D56" s="7" t="s">
        <v>451</v>
      </c>
      <c r="E56" s="69">
        <v>325666</v>
      </c>
      <c r="F56" s="69">
        <v>344083</v>
      </c>
      <c r="G56" s="69">
        <v>350546</v>
      </c>
      <c r="H56" s="69">
        <v>362236</v>
      </c>
      <c r="I56" s="69">
        <v>340896</v>
      </c>
      <c r="J56" s="69">
        <v>372946</v>
      </c>
      <c r="K56" s="69">
        <v>363815</v>
      </c>
      <c r="L56" s="69">
        <v>366344</v>
      </c>
      <c r="M56" s="69">
        <v>385441</v>
      </c>
      <c r="N56" s="69">
        <v>373035</v>
      </c>
      <c r="O56" s="69">
        <v>356355</v>
      </c>
      <c r="P56" s="69">
        <v>370461</v>
      </c>
      <c r="Q56" s="69">
        <v>359769</v>
      </c>
      <c r="R56" s="69">
        <v>352661</v>
      </c>
      <c r="S56" s="129"/>
      <c r="T56" s="129"/>
      <c r="U56" s="129"/>
      <c r="V56" s="129"/>
      <c r="W56" s="129"/>
      <c r="X56" s="129"/>
      <c r="Y56" s="129"/>
      <c r="Z56" s="129"/>
      <c r="AA56" s="129"/>
      <c r="AB56" s="129"/>
      <c r="AC56" s="129"/>
      <c r="AD56" s="129"/>
      <c r="AE56" s="129"/>
    </row>
    <row r="57" spans="1:31" s="141" customFormat="1" x14ac:dyDescent="0.3">
      <c r="A57" s="14" t="s">
        <v>85</v>
      </c>
      <c r="B57" s="7"/>
      <c r="C57" s="24">
        <f>SUM(C50:C56)</f>
        <v>0</v>
      </c>
      <c r="D57" s="24">
        <f t="shared" ref="D57:R57" si="3">SUM(D50:D56)</f>
        <v>0</v>
      </c>
      <c r="E57" s="24">
        <f t="shared" si="3"/>
        <v>511608</v>
      </c>
      <c r="F57" s="24">
        <f t="shared" si="3"/>
        <v>554837</v>
      </c>
      <c r="G57" s="24">
        <f t="shared" si="3"/>
        <v>558689</v>
      </c>
      <c r="H57" s="24">
        <f t="shared" si="3"/>
        <v>571276</v>
      </c>
      <c r="I57" s="24">
        <f t="shared" si="3"/>
        <v>497987</v>
      </c>
      <c r="J57" s="24">
        <f t="shared" si="3"/>
        <v>564994</v>
      </c>
      <c r="K57" s="24">
        <f t="shared" si="3"/>
        <v>541533</v>
      </c>
      <c r="L57" s="24">
        <f t="shared" si="3"/>
        <v>531659</v>
      </c>
      <c r="M57" s="24">
        <f t="shared" si="3"/>
        <v>540066</v>
      </c>
      <c r="N57" s="24">
        <f t="shared" si="3"/>
        <v>505531</v>
      </c>
      <c r="O57" s="24">
        <f t="shared" si="3"/>
        <v>489635</v>
      </c>
      <c r="P57" s="24">
        <f t="shared" si="3"/>
        <v>504279</v>
      </c>
      <c r="Q57" s="24">
        <f t="shared" si="3"/>
        <v>480481</v>
      </c>
      <c r="R57" s="24">
        <f t="shared" si="3"/>
        <v>458368</v>
      </c>
      <c r="S57" s="129"/>
      <c r="T57" s="129"/>
      <c r="U57" s="129"/>
      <c r="V57" s="129"/>
      <c r="W57" s="129"/>
      <c r="X57" s="129"/>
      <c r="Y57" s="129"/>
      <c r="Z57" s="129"/>
      <c r="AA57" s="129"/>
      <c r="AB57" s="129"/>
      <c r="AC57" s="129"/>
      <c r="AD57" s="129"/>
      <c r="AE57" s="129"/>
    </row>
    <row r="58" spans="1:31" s="141" customFormat="1" x14ac:dyDescent="0.3">
      <c r="A58" s="133" t="s">
        <v>67</v>
      </c>
      <c r="B58" s="139" t="s">
        <v>454</v>
      </c>
    </row>
    <row r="60" spans="1:31" s="138" customFormat="1" ht="18" x14ac:dyDescent="0.35">
      <c r="A60" s="117" t="s">
        <v>819</v>
      </c>
      <c r="B60" s="117" t="s">
        <v>455</v>
      </c>
      <c r="C60" s="117"/>
      <c r="D60" s="117"/>
      <c r="E60" s="117"/>
      <c r="F60" s="117"/>
      <c r="G60" s="117"/>
      <c r="H60" s="117"/>
      <c r="I60" s="117"/>
      <c r="J60" s="117"/>
      <c r="K60" s="117"/>
      <c r="L60" s="117"/>
      <c r="M60" s="117"/>
      <c r="N60" s="117"/>
      <c r="O60" s="117"/>
      <c r="P60" s="117"/>
      <c r="Q60" s="117"/>
      <c r="R60" s="117"/>
      <c r="S60" s="117"/>
      <c r="T60" s="117"/>
      <c r="U60" s="117"/>
      <c r="V60" s="117"/>
      <c r="W60" s="117"/>
      <c r="X60" s="117"/>
      <c r="Y60" s="117"/>
      <c r="Z60" s="117"/>
      <c r="AA60" s="117"/>
      <c r="AB60" s="117"/>
      <c r="AC60" s="117"/>
      <c r="AD60" s="117"/>
      <c r="AE60" s="117"/>
    </row>
    <row r="61" spans="1:31" x14ac:dyDescent="0.3">
      <c r="A61" t="s">
        <v>456</v>
      </c>
      <c r="B61" s="179">
        <v>158101</v>
      </c>
    </row>
    <row r="62" spans="1:31" x14ac:dyDescent="0.3">
      <c r="A62" t="s">
        <v>457</v>
      </c>
      <c r="B62" s="161">
        <v>6</v>
      </c>
    </row>
    <row r="63" spans="1:31" x14ac:dyDescent="0.3">
      <c r="A63" t="s">
        <v>458</v>
      </c>
      <c r="B63" s="165">
        <f>B61*B62</f>
        <v>948606</v>
      </c>
    </row>
    <row r="64" spans="1:31" x14ac:dyDescent="0.3">
      <c r="A64" s="133" t="s">
        <v>67</v>
      </c>
      <c r="B64" s="139" t="s">
        <v>459</v>
      </c>
    </row>
    <row r="66" spans="1:31" s="138" customFormat="1" ht="18" x14ac:dyDescent="0.35">
      <c r="A66" s="117" t="s">
        <v>820</v>
      </c>
      <c r="B66" s="117" t="s">
        <v>460</v>
      </c>
      <c r="C66" s="117"/>
      <c r="D66" s="117"/>
      <c r="E66" s="117"/>
      <c r="F66" s="117"/>
      <c r="G66" s="117"/>
      <c r="H66" s="117"/>
      <c r="I66" s="117"/>
      <c r="J66" s="117"/>
      <c r="K66" s="117"/>
      <c r="L66" s="117"/>
      <c r="M66" s="117"/>
      <c r="N66" s="117"/>
      <c r="O66" s="117"/>
      <c r="P66" s="117"/>
      <c r="Q66" s="117"/>
      <c r="R66" s="117"/>
      <c r="S66" s="117"/>
      <c r="T66" s="117"/>
      <c r="U66" s="117"/>
      <c r="V66" s="117"/>
      <c r="W66" s="117"/>
      <c r="X66" s="117"/>
      <c r="Y66" s="117"/>
      <c r="Z66" s="117"/>
      <c r="AA66" s="117"/>
      <c r="AB66" s="117"/>
      <c r="AC66" s="117"/>
      <c r="AD66" s="117"/>
      <c r="AE66" s="117"/>
    </row>
    <row r="67" spans="1:31" x14ac:dyDescent="0.3">
      <c r="A67" s="35" t="s">
        <v>0</v>
      </c>
      <c r="B67" t="s">
        <v>461</v>
      </c>
    </row>
    <row r="68" spans="1:31" x14ac:dyDescent="0.3">
      <c r="A68" t="s">
        <v>462</v>
      </c>
      <c r="B68" s="179">
        <v>74525</v>
      </c>
    </row>
    <row r="69" spans="1:31" x14ac:dyDescent="0.3">
      <c r="A69" s="133" t="s">
        <v>67</v>
      </c>
      <c r="B69" s="133" t="s">
        <v>463</v>
      </c>
    </row>
    <row r="71" spans="1:31" s="138" customFormat="1" ht="18" x14ac:dyDescent="0.35">
      <c r="A71" s="117" t="s">
        <v>821</v>
      </c>
      <c r="B71" s="117" t="s">
        <v>464</v>
      </c>
      <c r="C71" s="117"/>
      <c r="D71" s="117"/>
      <c r="E71" s="117"/>
      <c r="F71" s="117"/>
      <c r="G71" s="117"/>
      <c r="H71" s="117"/>
      <c r="I71" s="117"/>
      <c r="J71" s="117"/>
      <c r="K71" s="117"/>
      <c r="L71" s="117"/>
      <c r="M71" s="117"/>
      <c r="N71" s="117"/>
      <c r="O71" s="117"/>
      <c r="P71" s="117"/>
      <c r="Q71" s="117"/>
      <c r="R71" s="117"/>
      <c r="S71" s="117"/>
      <c r="T71" s="117"/>
      <c r="U71" s="117"/>
      <c r="V71" s="117"/>
      <c r="W71" s="117"/>
      <c r="X71" s="117"/>
      <c r="Y71" s="117"/>
      <c r="Z71" s="117"/>
      <c r="AA71" s="117"/>
      <c r="AB71" s="117"/>
      <c r="AC71" s="117"/>
      <c r="AD71" s="117"/>
      <c r="AE71" s="117"/>
    </row>
    <row r="72" spans="1:31" x14ac:dyDescent="0.3">
      <c r="A72" s="1" t="s">
        <v>0</v>
      </c>
      <c r="B72" t="s">
        <v>465</v>
      </c>
    </row>
    <row r="73" spans="1:31" x14ac:dyDescent="0.3">
      <c r="A73" t="s">
        <v>466</v>
      </c>
      <c r="B73" s="188">
        <v>150443</v>
      </c>
    </row>
    <row r="74" spans="1:31" x14ac:dyDescent="0.3">
      <c r="A74" t="s">
        <v>467</v>
      </c>
      <c r="B74" s="188">
        <v>156463</v>
      </c>
    </row>
    <row r="75" spans="1:31" x14ac:dyDescent="0.3">
      <c r="A75" s="133" t="s">
        <v>67</v>
      </c>
      <c r="B75" s="133" t="s">
        <v>468</v>
      </c>
    </row>
    <row r="77" spans="1:31" s="138" customFormat="1" ht="18" x14ac:dyDescent="0.35">
      <c r="A77" s="117" t="s">
        <v>822</v>
      </c>
      <c r="B77" s="117" t="s">
        <v>469</v>
      </c>
      <c r="C77" s="117"/>
      <c r="D77" s="117"/>
      <c r="E77" s="117"/>
      <c r="F77" s="117"/>
      <c r="G77" s="117"/>
      <c r="H77" s="117"/>
      <c r="I77" s="117"/>
      <c r="J77" s="117"/>
      <c r="K77" s="117"/>
      <c r="L77" s="117"/>
      <c r="M77" s="117"/>
      <c r="N77" s="117"/>
      <c r="O77" s="117"/>
      <c r="P77" s="117"/>
      <c r="Q77" s="117"/>
      <c r="R77" s="117"/>
      <c r="S77" s="117"/>
      <c r="T77" s="117"/>
      <c r="U77" s="117"/>
      <c r="V77" s="117"/>
      <c r="W77" s="117"/>
      <c r="X77" s="117"/>
      <c r="Y77" s="117"/>
      <c r="Z77" s="117"/>
      <c r="AA77" s="117"/>
      <c r="AB77" s="117"/>
      <c r="AC77" s="117"/>
      <c r="AD77" s="117"/>
      <c r="AE77" s="117"/>
    </row>
    <row r="78" spans="1:31" x14ac:dyDescent="0.3">
      <c r="A78" s="148" t="s">
        <v>306</v>
      </c>
      <c r="B78" s="133" t="s">
        <v>470</v>
      </c>
    </row>
    <row r="79" spans="1:31" x14ac:dyDescent="0.3">
      <c r="A79" t="s">
        <v>61</v>
      </c>
      <c r="B79" s="50">
        <v>2010</v>
      </c>
      <c r="C79" s="50">
        <v>2011</v>
      </c>
      <c r="D79" s="50">
        <v>2012</v>
      </c>
      <c r="E79" s="50">
        <v>2013</v>
      </c>
      <c r="F79" s="50">
        <v>2014</v>
      </c>
      <c r="G79" s="50">
        <v>2015</v>
      </c>
      <c r="H79" s="50">
        <v>2016</v>
      </c>
      <c r="I79" s="50">
        <v>2017</v>
      </c>
      <c r="J79" s="50">
        <v>2018</v>
      </c>
      <c r="K79" s="129"/>
      <c r="L79" s="129"/>
      <c r="M79" s="129"/>
      <c r="N79" s="129"/>
      <c r="O79" s="129"/>
      <c r="P79" s="129"/>
      <c r="Q79" s="129"/>
      <c r="R79" s="129"/>
      <c r="S79" s="129"/>
      <c r="T79" s="129"/>
      <c r="U79" s="129"/>
    </row>
    <row r="80" spans="1:31" x14ac:dyDescent="0.3">
      <c r="A80" t="s">
        <v>85</v>
      </c>
      <c r="B80" s="70">
        <v>163823</v>
      </c>
      <c r="C80" s="70">
        <v>164188</v>
      </c>
      <c r="D80" s="70">
        <v>165438</v>
      </c>
      <c r="E80" s="70">
        <v>166783</v>
      </c>
      <c r="F80" s="70">
        <v>169545</v>
      </c>
      <c r="G80" s="70">
        <v>172298</v>
      </c>
      <c r="H80" s="70">
        <v>176009</v>
      </c>
      <c r="I80" s="70">
        <v>179583</v>
      </c>
      <c r="J80" s="70">
        <v>183575</v>
      </c>
      <c r="K80" s="129"/>
      <c r="L80" s="129"/>
      <c r="M80" s="129"/>
      <c r="N80" s="129"/>
      <c r="O80" s="169"/>
      <c r="P80" s="129"/>
      <c r="Q80" s="129"/>
      <c r="R80" s="129"/>
      <c r="S80" s="129"/>
      <c r="T80" s="129"/>
      <c r="U80" s="129"/>
    </row>
    <row r="81" spans="1:21" x14ac:dyDescent="0.3">
      <c r="A81" t="s">
        <v>471</v>
      </c>
      <c r="B81" s="70">
        <v>12940</v>
      </c>
      <c r="C81" s="70">
        <v>13034</v>
      </c>
      <c r="D81" s="70">
        <v>13794</v>
      </c>
      <c r="E81" s="70">
        <v>12998</v>
      </c>
      <c r="F81" s="70">
        <v>12894</v>
      </c>
      <c r="G81" s="70">
        <v>13310</v>
      </c>
      <c r="H81" s="70">
        <v>13950</v>
      </c>
      <c r="I81" s="70">
        <v>13880</v>
      </c>
      <c r="J81" s="70">
        <v>14483</v>
      </c>
      <c r="K81" s="129"/>
      <c r="L81" s="129"/>
      <c r="M81" s="129"/>
      <c r="N81" s="129"/>
      <c r="O81" s="169"/>
      <c r="P81" s="129"/>
      <c r="Q81" s="129"/>
      <c r="R81" s="129"/>
      <c r="S81" s="129"/>
      <c r="T81" s="129"/>
      <c r="U81" s="129"/>
    </row>
    <row r="82" spans="1:21" x14ac:dyDescent="0.3">
      <c r="A82" t="s">
        <v>472</v>
      </c>
      <c r="B82" s="70">
        <v>8460</v>
      </c>
      <c r="C82" s="70">
        <v>8197</v>
      </c>
      <c r="D82" s="70">
        <v>8462</v>
      </c>
      <c r="E82" s="70">
        <v>8706</v>
      </c>
      <c r="F82" s="70">
        <v>9046</v>
      </c>
      <c r="G82" s="70">
        <v>9694</v>
      </c>
      <c r="H82" s="70">
        <v>10402</v>
      </c>
      <c r="I82" s="70">
        <v>10561</v>
      </c>
      <c r="J82" s="70">
        <v>10786</v>
      </c>
      <c r="K82" s="129"/>
      <c r="L82" s="129"/>
      <c r="M82" s="129"/>
      <c r="N82" s="129"/>
      <c r="O82" s="169"/>
      <c r="P82" s="129"/>
      <c r="Q82" s="129"/>
      <c r="R82" s="129"/>
      <c r="S82" s="129"/>
      <c r="T82" s="129"/>
      <c r="U82" s="129"/>
    </row>
    <row r="83" spans="1:21" x14ac:dyDescent="0.3">
      <c r="A83" t="s">
        <v>473</v>
      </c>
      <c r="B83" s="70">
        <f>SUM(B81:B82)</f>
        <v>21400</v>
      </c>
      <c r="C83" s="70">
        <f t="shared" ref="C83:J83" si="4">SUM(C81:C82)</f>
        <v>21231</v>
      </c>
      <c r="D83" s="70">
        <f t="shared" si="4"/>
        <v>22256</v>
      </c>
      <c r="E83" s="70">
        <f t="shared" si="4"/>
        <v>21704</v>
      </c>
      <c r="F83" s="70">
        <f t="shared" si="4"/>
        <v>21940</v>
      </c>
      <c r="G83" s="70">
        <f t="shared" si="4"/>
        <v>23004</v>
      </c>
      <c r="H83" s="70">
        <f t="shared" si="4"/>
        <v>24352</v>
      </c>
      <c r="I83" s="70">
        <f t="shared" si="4"/>
        <v>24441</v>
      </c>
      <c r="J83" s="70">
        <f t="shared" si="4"/>
        <v>25269</v>
      </c>
      <c r="K83" s="129"/>
      <c r="L83" s="129"/>
      <c r="M83" s="129"/>
      <c r="N83" s="129"/>
      <c r="O83" s="129"/>
      <c r="P83" s="129"/>
      <c r="Q83" s="129"/>
      <c r="R83" s="129"/>
      <c r="S83" s="129"/>
      <c r="T83" s="129"/>
      <c r="U83" s="129"/>
    </row>
    <row r="84" spans="1:21" x14ac:dyDescent="0.3">
      <c r="A84" t="s">
        <v>474</v>
      </c>
      <c r="B84" s="71">
        <f>B83/B80</f>
        <v>0.13062878838746697</v>
      </c>
      <c r="C84" s="71">
        <f t="shared" ref="C84:J84" si="5">C83/C80</f>
        <v>0.12930908470777402</v>
      </c>
      <c r="D84" s="71">
        <f t="shared" si="5"/>
        <v>0.13452773848813454</v>
      </c>
      <c r="E84" s="71">
        <f t="shared" si="5"/>
        <v>0.13013316704939951</v>
      </c>
      <c r="F84" s="71">
        <f t="shared" si="5"/>
        <v>0.12940517266802323</v>
      </c>
      <c r="G84" s="71">
        <f t="shared" si="5"/>
        <v>0.13351286724163949</v>
      </c>
      <c r="H84" s="71">
        <f t="shared" si="5"/>
        <v>0.13835656131220564</v>
      </c>
      <c r="I84" s="71">
        <f t="shared" si="5"/>
        <v>0.13609862848933363</v>
      </c>
      <c r="J84" s="71">
        <f t="shared" si="5"/>
        <v>0.13764946207272233</v>
      </c>
      <c r="K84" s="129"/>
      <c r="L84" s="129"/>
      <c r="M84" s="129"/>
      <c r="N84" s="129"/>
      <c r="O84" s="129"/>
      <c r="P84" s="129"/>
      <c r="Q84" s="129"/>
      <c r="R84" s="129"/>
      <c r="S84" s="129"/>
      <c r="T84" s="129"/>
      <c r="U84" s="129"/>
    </row>
    <row r="85" spans="1:21" x14ac:dyDescent="0.3">
      <c r="A85" s="133" t="s">
        <v>67</v>
      </c>
      <c r="B85" s="180" t="s">
        <v>475</v>
      </c>
      <c r="C85" s="180"/>
      <c r="D85" s="180"/>
      <c r="E85" s="180"/>
      <c r="F85" s="180"/>
      <c r="G85" s="180"/>
      <c r="H85" s="180"/>
      <c r="I85" s="180"/>
      <c r="J85" s="180"/>
    </row>
  </sheetData>
  <dataValidations count="2">
    <dataValidation allowBlank="1" showErrorMessage="1" promptTitle="Input" prompt="Scope of VMT" sqref="B15:B27" xr:uid="{00000000-0002-0000-0800-000000000000}"/>
    <dataValidation allowBlank="1" showErrorMessage="1" promptTitle="Input" prompt="VMT type" sqref="A15:A19 A21:A27" xr:uid="{00000000-0002-0000-0800-000001000000}"/>
  </dataValidations>
  <hyperlinks>
    <hyperlink ref="B35" r:id="rId1" xr:uid="{00000000-0004-0000-0800-000000000000}"/>
    <hyperlink ref="B64" r:id="rId2" xr:uid="{00000000-0004-0000-0800-000001000000}"/>
    <hyperlink ref="B58" r:id="rId3" xr:uid="{00000000-0004-0000-0800-000002000000}"/>
  </hyperlinks>
  <pageMargins left="0.7" right="0.7" top="0.75" bottom="0.75" header="0.3" footer="0.3"/>
  <pageSetup orientation="portrait" horizontalDpi="300" verticalDpi="300" r:id="rId4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2">
    <tabColor theme="9" tint="0.39997558519241921"/>
  </sheetPr>
  <dimension ref="A1:M187"/>
  <sheetViews>
    <sheetView workbookViewId="0">
      <selection activeCell="H27" sqref="H27"/>
    </sheetView>
  </sheetViews>
  <sheetFormatPr defaultRowHeight="14.4" x14ac:dyDescent="0.3"/>
  <cols>
    <col min="1" max="1" width="12.21875" style="133" customWidth="1"/>
    <col min="2" max="2" width="12" style="133" bestFit="1" customWidth="1"/>
    <col min="3" max="3" width="12.109375" style="133" customWidth="1"/>
    <col min="4" max="4" width="8.88671875" style="133"/>
    <col min="5" max="6" width="12" style="133" bestFit="1" customWidth="1"/>
    <col min="7" max="7" width="12" style="133" customWidth="1"/>
    <col min="8" max="8" width="18.6640625" style="133" bestFit="1" customWidth="1"/>
    <col min="9" max="11" width="8.88671875" style="133"/>
    <col min="12" max="12" width="12.44140625" style="133" bestFit="1" customWidth="1"/>
    <col min="13" max="13" width="11" style="133" bestFit="1" customWidth="1"/>
    <col min="14" max="16384" width="8.88671875" style="133"/>
  </cols>
  <sheetData>
    <row r="1" spans="1:13" s="137" customFormat="1" ht="25.8" x14ac:dyDescent="0.5">
      <c r="A1" s="118" t="s">
        <v>476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</row>
    <row r="2" spans="1:13" x14ac:dyDescent="0.3">
      <c r="A2"/>
      <c r="B2"/>
      <c r="C2"/>
      <c r="D2"/>
      <c r="E2"/>
      <c r="F2"/>
      <c r="G2"/>
      <c r="H2"/>
      <c r="I2"/>
      <c r="J2"/>
      <c r="K2"/>
      <c r="L2"/>
      <c r="M2"/>
    </row>
    <row r="3" spans="1:13" s="138" customFormat="1" ht="18" x14ac:dyDescent="0.35">
      <c r="A3" s="117" t="s">
        <v>1082</v>
      </c>
      <c r="B3" s="117" t="s">
        <v>477</v>
      </c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</row>
    <row r="4" spans="1:13" x14ac:dyDescent="0.3">
      <c r="A4"/>
      <c r="B4" s="1">
        <v>2010</v>
      </c>
      <c r="C4" s="1">
        <v>2016</v>
      </c>
      <c r="D4" s="161"/>
      <c r="E4" s="161"/>
      <c r="F4" s="161"/>
      <c r="G4" s="161"/>
    </row>
    <row r="5" spans="1:13" x14ac:dyDescent="0.3">
      <c r="A5" s="1" t="s">
        <v>478</v>
      </c>
      <c r="B5" s="28">
        <f>SUM(E23:E187)</f>
        <v>573289296</v>
      </c>
      <c r="C5" s="28">
        <f>SUM(F23:F187)</f>
        <v>637055376</v>
      </c>
      <c r="D5" s="161"/>
      <c r="E5" s="161"/>
      <c r="F5" s="161"/>
      <c r="G5" s="161"/>
    </row>
    <row r="6" spans="1:13" x14ac:dyDescent="0.3">
      <c r="A6" s="1" t="s">
        <v>479</v>
      </c>
      <c r="B6" s="28">
        <f>SUM(L23:L119)</f>
        <v>135023472</v>
      </c>
      <c r="C6" s="28">
        <f>SUM(M23:M119)</f>
        <v>152105232</v>
      </c>
      <c r="D6" s="161"/>
      <c r="E6" s="161"/>
      <c r="F6" s="161"/>
      <c r="G6" s="161"/>
    </row>
    <row r="7" spans="1:13" x14ac:dyDescent="0.3">
      <c r="A7" s="1" t="s">
        <v>85</v>
      </c>
      <c r="B7" s="28">
        <f>SUM(B5:B6)</f>
        <v>708312768</v>
      </c>
      <c r="C7" s="28">
        <f>SUM(C5:C6)</f>
        <v>789160608</v>
      </c>
      <c r="D7" s="161"/>
      <c r="E7" s="161"/>
      <c r="F7" s="161"/>
      <c r="G7" s="161"/>
    </row>
    <row r="9" spans="1:13" s="138" customFormat="1" ht="18" x14ac:dyDescent="0.35">
      <c r="A9" s="117" t="s">
        <v>1120</v>
      </c>
      <c r="B9" s="117" t="s">
        <v>480</v>
      </c>
      <c r="C9" s="117"/>
      <c r="D9" s="117"/>
      <c r="E9" s="117"/>
      <c r="F9" s="117"/>
      <c r="G9" s="117"/>
      <c r="H9" s="117"/>
      <c r="I9" s="117"/>
      <c r="J9" s="117"/>
      <c r="K9" s="117"/>
      <c r="L9" s="117"/>
      <c r="M9" s="117"/>
    </row>
    <row r="10" spans="1:13" x14ac:dyDescent="0.3">
      <c r="A10" t="s">
        <v>481</v>
      </c>
      <c r="B10" t="s">
        <v>482</v>
      </c>
      <c r="C10"/>
      <c r="D10"/>
      <c r="E10"/>
      <c r="F10"/>
    </row>
    <row r="11" spans="1:13" x14ac:dyDescent="0.3">
      <c r="A11" t="s">
        <v>483</v>
      </c>
      <c r="B11" t="s">
        <v>484</v>
      </c>
      <c r="C11"/>
      <c r="D11"/>
      <c r="E11"/>
      <c r="F11"/>
    </row>
    <row r="12" spans="1:13" x14ac:dyDescent="0.3">
      <c r="A12" t="s">
        <v>485</v>
      </c>
      <c r="B12" t="s">
        <v>486</v>
      </c>
      <c r="C12"/>
      <c r="D12"/>
      <c r="E12"/>
      <c r="F12"/>
    </row>
    <row r="13" spans="1:13" x14ac:dyDescent="0.3">
      <c r="A13">
        <v>2</v>
      </c>
      <c r="B13" t="s">
        <v>487</v>
      </c>
      <c r="C13"/>
      <c r="D13"/>
      <c r="E13"/>
      <c r="F13"/>
    </row>
    <row r="14" spans="1:13" x14ac:dyDescent="0.3">
      <c r="A14">
        <v>5</v>
      </c>
      <c r="B14" t="s">
        <v>488</v>
      </c>
      <c r="C14"/>
      <c r="D14"/>
      <c r="E14"/>
      <c r="F14"/>
    </row>
    <row r="15" spans="1:13" x14ac:dyDescent="0.3">
      <c r="A15">
        <v>48</v>
      </c>
      <c r="B15" t="s">
        <v>489</v>
      </c>
      <c r="C15"/>
      <c r="D15"/>
      <c r="E15"/>
      <c r="F15"/>
    </row>
    <row r="16" spans="1:13" x14ac:dyDescent="0.3">
      <c r="A16">
        <f>A13*A14*A15</f>
        <v>480</v>
      </c>
      <c r="B16" t="s">
        <v>490</v>
      </c>
      <c r="C16"/>
      <c r="D16"/>
      <c r="E16"/>
      <c r="F16"/>
    </row>
    <row r="17" spans="1:13" x14ac:dyDescent="0.3">
      <c r="A17">
        <v>4.4000000000000004</v>
      </c>
      <c r="B17" t="s">
        <v>491</v>
      </c>
      <c r="C17"/>
      <c r="D17"/>
      <c r="E17"/>
      <c r="F17"/>
    </row>
    <row r="19" spans="1:13" s="138" customFormat="1" ht="18" x14ac:dyDescent="0.35">
      <c r="A19" s="117" t="s">
        <v>1121</v>
      </c>
      <c r="B19" s="117" t="s">
        <v>492</v>
      </c>
      <c r="C19" s="117"/>
      <c r="D19" s="117"/>
      <c r="E19" s="117"/>
      <c r="F19" s="117"/>
      <c r="G19" s="117"/>
      <c r="H19" s="117"/>
      <c r="I19" s="117"/>
      <c r="J19" s="117"/>
      <c r="K19" s="117"/>
      <c r="L19" s="117"/>
      <c r="M19" s="117"/>
    </row>
    <row r="20" spans="1:13" x14ac:dyDescent="0.3">
      <c r="A20" s="1" t="s">
        <v>478</v>
      </c>
      <c r="B20"/>
      <c r="C20"/>
      <c r="D20"/>
      <c r="E20"/>
      <c r="F20"/>
      <c r="G20"/>
      <c r="H20" s="1" t="s">
        <v>479</v>
      </c>
      <c r="I20"/>
      <c r="J20"/>
      <c r="K20"/>
      <c r="L20"/>
      <c r="M20"/>
    </row>
    <row r="21" spans="1:13" x14ac:dyDescent="0.3">
      <c r="A21" t="s">
        <v>493</v>
      </c>
      <c r="B21" t="s">
        <v>481</v>
      </c>
      <c r="C21" t="s">
        <v>494</v>
      </c>
      <c r="D21"/>
      <c r="E21" t="s">
        <v>495</v>
      </c>
      <c r="F21"/>
      <c r="G21"/>
      <c r="H21" t="s">
        <v>493</v>
      </c>
      <c r="I21" t="s">
        <v>481</v>
      </c>
      <c r="J21" t="s">
        <v>496</v>
      </c>
      <c r="K21"/>
      <c r="L21" t="s">
        <v>497</v>
      </c>
      <c r="M21"/>
    </row>
    <row r="22" spans="1:13" x14ac:dyDescent="0.3">
      <c r="A22"/>
      <c r="B22"/>
      <c r="C22">
        <v>2010</v>
      </c>
      <c r="D22">
        <v>2016</v>
      </c>
      <c r="E22">
        <v>2010</v>
      </c>
      <c r="F22">
        <v>2016</v>
      </c>
      <c r="G22"/>
      <c r="H22"/>
      <c r="I22"/>
      <c r="J22">
        <v>2010</v>
      </c>
      <c r="K22">
        <v>2016</v>
      </c>
      <c r="L22">
        <v>2010</v>
      </c>
      <c r="M22">
        <v>2016</v>
      </c>
    </row>
    <row r="23" spans="1:13" x14ac:dyDescent="0.3">
      <c r="A23" t="s">
        <v>498</v>
      </c>
      <c r="B23">
        <v>5.6</v>
      </c>
      <c r="C23" s="30">
        <v>6605</v>
      </c>
      <c r="D23" s="30">
        <v>7775</v>
      </c>
      <c r="E23" s="28">
        <f>IF($B23&gt;$A$17,$B23-$A$17,0)*$A$16*C23</f>
        <v>3804479.9999999977</v>
      </c>
      <c r="F23" s="28">
        <f>IF($B23&gt;$A$17,$B23-$A$17,0)*$A$16*D23</f>
        <v>4478399.9999999972</v>
      </c>
      <c r="G23" s="28"/>
      <c r="H23" t="s">
        <v>498</v>
      </c>
      <c r="I23">
        <f>VLOOKUP(H23,$A$22:$B$188,2,FALSE)</f>
        <v>5.6</v>
      </c>
      <c r="J23" s="30">
        <v>2765</v>
      </c>
      <c r="K23" s="30">
        <v>2560</v>
      </c>
      <c r="L23" s="28">
        <f>IF($I23&gt;$A$17,$I23-$A$17,0)*$A$16*J23</f>
        <v>1592639.9999999991</v>
      </c>
      <c r="M23" s="28">
        <f>IF($I23&gt;$A$17,$I23-$A$17,0)*$A$16*K23</f>
        <v>1474559.9999999991</v>
      </c>
    </row>
    <row r="24" spans="1:13" x14ac:dyDescent="0.3">
      <c r="A24" t="s">
        <v>499</v>
      </c>
      <c r="B24">
        <v>12.6</v>
      </c>
      <c r="C24" s="30">
        <v>6530</v>
      </c>
      <c r="D24" s="30">
        <v>7763</v>
      </c>
      <c r="E24" s="28">
        <f t="shared" ref="E24:E87" si="0">IF($B24&gt;$A$17,$B24-$A$17,0)*$A$16*C24</f>
        <v>25702079.999999996</v>
      </c>
      <c r="F24" s="28">
        <f t="shared" ref="F24:F87" si="1">IF($B24&gt;$A$17,$B24-$A$17,0)*$A$16*D24</f>
        <v>30555167.999999996</v>
      </c>
      <c r="G24" s="28"/>
      <c r="H24" t="s">
        <v>500</v>
      </c>
      <c r="I24">
        <f>VLOOKUP(H24,$A$24:$B$188,2,FALSE)</f>
        <v>4.0999999999999996</v>
      </c>
      <c r="J24" s="30">
        <v>1122</v>
      </c>
      <c r="K24" s="30">
        <v>1668</v>
      </c>
      <c r="L24" s="28">
        <f t="shared" ref="L24:L87" si="2">IF($I24&gt;$A$17,$I24-$A$17,0)*$A$16*J24</f>
        <v>0</v>
      </c>
      <c r="M24" s="28">
        <f t="shared" ref="M24:M87" si="3">IF($I24&gt;$A$17,$I24-$A$17,0)*$A$16*K24</f>
        <v>0</v>
      </c>
    </row>
    <row r="25" spans="1:13" x14ac:dyDescent="0.3">
      <c r="A25" t="s">
        <v>483</v>
      </c>
      <c r="B25" s="8">
        <v>65</v>
      </c>
      <c r="C25" s="30">
        <v>6946</v>
      </c>
      <c r="D25" s="30">
        <v>7255</v>
      </c>
      <c r="E25" s="28">
        <f t="shared" si="0"/>
        <v>202045248</v>
      </c>
      <c r="F25" s="28">
        <f t="shared" si="1"/>
        <v>211033440</v>
      </c>
      <c r="G25" s="28"/>
      <c r="H25" t="s">
        <v>501</v>
      </c>
      <c r="I25">
        <f t="shared" ref="I25:I88" si="4">VLOOKUP(H25,$A$24:$B$188,2,FALSE)</f>
        <v>4.4000000000000004</v>
      </c>
      <c r="J25" s="30">
        <v>1990</v>
      </c>
      <c r="K25" s="30">
        <v>1642</v>
      </c>
      <c r="L25" s="28">
        <f t="shared" si="2"/>
        <v>0</v>
      </c>
      <c r="M25" s="28">
        <f t="shared" si="3"/>
        <v>0</v>
      </c>
    </row>
    <row r="26" spans="1:13" x14ac:dyDescent="0.3">
      <c r="A26" t="s">
        <v>502</v>
      </c>
      <c r="B26">
        <v>10.6</v>
      </c>
      <c r="C26" s="30">
        <v>2930</v>
      </c>
      <c r="D26" s="30">
        <v>3666</v>
      </c>
      <c r="E26" s="28">
        <f t="shared" si="0"/>
        <v>8719679.9999999981</v>
      </c>
      <c r="F26" s="28">
        <f t="shared" si="1"/>
        <v>10910015.999999998</v>
      </c>
      <c r="G26" s="28"/>
      <c r="H26" t="s">
        <v>483</v>
      </c>
      <c r="I26">
        <f t="shared" si="4"/>
        <v>65</v>
      </c>
      <c r="J26" s="30">
        <v>890</v>
      </c>
      <c r="K26" s="30">
        <v>1124</v>
      </c>
      <c r="L26" s="28">
        <f t="shared" si="2"/>
        <v>25888320</v>
      </c>
      <c r="M26" s="28">
        <f t="shared" si="3"/>
        <v>32694912</v>
      </c>
    </row>
    <row r="27" spans="1:13" x14ac:dyDescent="0.3">
      <c r="A27" t="s">
        <v>501</v>
      </c>
      <c r="B27">
        <v>4.4000000000000004</v>
      </c>
      <c r="C27" s="30">
        <v>3101</v>
      </c>
      <c r="D27" s="30">
        <v>3343</v>
      </c>
      <c r="E27" s="28">
        <f t="shared" si="0"/>
        <v>0</v>
      </c>
      <c r="F27" s="28">
        <f t="shared" si="1"/>
        <v>0</v>
      </c>
      <c r="G27" s="28"/>
      <c r="H27" t="s">
        <v>502</v>
      </c>
      <c r="I27">
        <f t="shared" si="4"/>
        <v>10.6</v>
      </c>
      <c r="J27" s="30">
        <v>1210</v>
      </c>
      <c r="K27" s="30">
        <v>1057</v>
      </c>
      <c r="L27" s="28">
        <f t="shared" si="2"/>
        <v>3600959.9999999995</v>
      </c>
      <c r="M27" s="28">
        <f t="shared" si="3"/>
        <v>3145631.9999999995</v>
      </c>
    </row>
    <row r="28" spans="1:13" x14ac:dyDescent="0.3">
      <c r="A28" t="s">
        <v>503</v>
      </c>
      <c r="B28">
        <v>17.600000000000001</v>
      </c>
      <c r="C28" s="30">
        <v>2205</v>
      </c>
      <c r="D28" s="30">
        <v>2873</v>
      </c>
      <c r="E28" s="28">
        <f t="shared" si="0"/>
        <v>13970880.000000002</v>
      </c>
      <c r="F28" s="28">
        <f t="shared" si="1"/>
        <v>18203328.000000004</v>
      </c>
      <c r="G28" s="28"/>
      <c r="H28" t="s">
        <v>504</v>
      </c>
      <c r="I28">
        <f t="shared" si="4"/>
        <v>36.299999999999997</v>
      </c>
      <c r="J28" s="30">
        <v>755</v>
      </c>
      <c r="K28" s="30">
        <v>991</v>
      </c>
      <c r="L28" s="28">
        <f t="shared" si="2"/>
        <v>11560560</v>
      </c>
      <c r="M28" s="28">
        <f t="shared" si="3"/>
        <v>15174192</v>
      </c>
    </row>
    <row r="29" spans="1:13" x14ac:dyDescent="0.3">
      <c r="A29" t="s">
        <v>505</v>
      </c>
      <c r="B29">
        <v>11.6</v>
      </c>
      <c r="C29" s="30">
        <v>1750</v>
      </c>
      <c r="D29" s="30">
        <v>1804</v>
      </c>
      <c r="E29" s="28">
        <f t="shared" si="0"/>
        <v>6047999.9999999991</v>
      </c>
      <c r="F29" s="28">
        <f t="shared" si="1"/>
        <v>6234623.9999999991</v>
      </c>
      <c r="G29" s="28"/>
      <c r="H29" t="s">
        <v>506</v>
      </c>
      <c r="I29">
        <f t="shared" si="4"/>
        <v>43.4</v>
      </c>
      <c r="J29" s="30">
        <v>835</v>
      </c>
      <c r="K29" s="30">
        <v>961</v>
      </c>
      <c r="L29" s="28">
        <f t="shared" si="2"/>
        <v>15631200</v>
      </c>
      <c r="M29" s="28">
        <f t="shared" si="3"/>
        <v>17989920</v>
      </c>
    </row>
    <row r="30" spans="1:13" x14ac:dyDescent="0.3">
      <c r="A30" t="s">
        <v>485</v>
      </c>
      <c r="B30" s="8">
        <v>60</v>
      </c>
      <c r="C30" s="30">
        <v>1192</v>
      </c>
      <c r="D30" s="30">
        <v>1770</v>
      </c>
      <c r="E30" s="28">
        <f t="shared" si="0"/>
        <v>31812096</v>
      </c>
      <c r="F30" s="28">
        <f t="shared" si="1"/>
        <v>47237760</v>
      </c>
      <c r="G30" s="28"/>
      <c r="H30" t="s">
        <v>505</v>
      </c>
      <c r="I30">
        <f t="shared" si="4"/>
        <v>11.6</v>
      </c>
      <c r="J30" s="30">
        <v>595</v>
      </c>
      <c r="K30" s="30">
        <v>714</v>
      </c>
      <c r="L30" s="28">
        <f t="shared" si="2"/>
        <v>2056319.9999999998</v>
      </c>
      <c r="M30" s="28">
        <f t="shared" si="3"/>
        <v>2467583.9999999995</v>
      </c>
    </row>
    <row r="31" spans="1:13" x14ac:dyDescent="0.3">
      <c r="A31" t="s">
        <v>507</v>
      </c>
      <c r="B31">
        <v>16.899999999999999</v>
      </c>
      <c r="C31" s="30">
        <v>1735</v>
      </c>
      <c r="D31" s="30">
        <v>1695</v>
      </c>
      <c r="E31" s="28">
        <f t="shared" si="0"/>
        <v>10409999.999999998</v>
      </c>
      <c r="F31" s="28">
        <f t="shared" si="1"/>
        <v>10169999.999999998</v>
      </c>
      <c r="G31" s="28"/>
      <c r="H31" t="s">
        <v>508</v>
      </c>
      <c r="I31">
        <f t="shared" si="4"/>
        <v>25.9</v>
      </c>
      <c r="J31" s="30">
        <v>515</v>
      </c>
      <c r="K31" s="30">
        <v>657</v>
      </c>
      <c r="L31" s="28">
        <f t="shared" si="2"/>
        <v>5314800</v>
      </c>
      <c r="M31" s="28">
        <f t="shared" si="3"/>
        <v>6780240</v>
      </c>
    </row>
    <row r="32" spans="1:13" x14ac:dyDescent="0.3">
      <c r="A32" t="s">
        <v>500</v>
      </c>
      <c r="B32">
        <v>4.0999999999999996</v>
      </c>
      <c r="C32" s="30">
        <v>880</v>
      </c>
      <c r="D32" s="30">
        <v>1672</v>
      </c>
      <c r="E32" s="28">
        <f t="shared" si="0"/>
        <v>0</v>
      </c>
      <c r="F32" s="28">
        <f t="shared" si="1"/>
        <v>0</v>
      </c>
      <c r="G32" s="28"/>
      <c r="H32" t="s">
        <v>509</v>
      </c>
      <c r="I32">
        <f t="shared" si="4"/>
        <v>9.1</v>
      </c>
      <c r="J32" s="30">
        <v>340</v>
      </c>
      <c r="K32" s="30">
        <v>599</v>
      </c>
      <c r="L32" s="28">
        <f t="shared" si="2"/>
        <v>767039.99999999988</v>
      </c>
      <c r="M32" s="28">
        <f t="shared" si="3"/>
        <v>1351343.9999999998</v>
      </c>
    </row>
    <row r="33" spans="1:13" x14ac:dyDescent="0.3">
      <c r="A33" t="s">
        <v>510</v>
      </c>
      <c r="B33">
        <v>16.8</v>
      </c>
      <c r="C33" s="30">
        <v>1390</v>
      </c>
      <c r="D33" s="30">
        <v>1600</v>
      </c>
      <c r="E33" s="28">
        <f t="shared" si="0"/>
        <v>8273280</v>
      </c>
      <c r="F33" s="28">
        <f t="shared" si="1"/>
        <v>9523200</v>
      </c>
      <c r="G33" s="28"/>
      <c r="H33" t="s">
        <v>485</v>
      </c>
      <c r="I33">
        <f t="shared" si="4"/>
        <v>60</v>
      </c>
      <c r="J33" s="30">
        <v>744</v>
      </c>
      <c r="K33" s="30">
        <v>564</v>
      </c>
      <c r="L33" s="28">
        <f t="shared" si="2"/>
        <v>19855872</v>
      </c>
      <c r="M33" s="28">
        <f t="shared" si="3"/>
        <v>15052032</v>
      </c>
    </row>
    <row r="34" spans="1:13" x14ac:dyDescent="0.3">
      <c r="A34" t="s">
        <v>508</v>
      </c>
      <c r="B34">
        <v>25.9</v>
      </c>
      <c r="C34" s="30">
        <v>800</v>
      </c>
      <c r="D34" s="30">
        <v>1244</v>
      </c>
      <c r="E34" s="28">
        <f t="shared" si="0"/>
        <v>8256000</v>
      </c>
      <c r="F34" s="28">
        <f t="shared" si="1"/>
        <v>12838080</v>
      </c>
      <c r="G34" s="28"/>
      <c r="H34" t="s">
        <v>499</v>
      </c>
      <c r="I34">
        <f t="shared" si="4"/>
        <v>12.6</v>
      </c>
      <c r="J34" s="30">
        <v>720</v>
      </c>
      <c r="K34" s="30">
        <v>534</v>
      </c>
      <c r="L34" s="28">
        <f t="shared" si="2"/>
        <v>2833919.9999999995</v>
      </c>
      <c r="M34" s="28">
        <f t="shared" si="3"/>
        <v>2101823.9999999995</v>
      </c>
    </row>
    <row r="35" spans="1:13" x14ac:dyDescent="0.3">
      <c r="A35" t="s">
        <v>511</v>
      </c>
      <c r="B35">
        <v>11.9</v>
      </c>
      <c r="C35" s="30">
        <v>790</v>
      </c>
      <c r="D35" s="30">
        <v>1070</v>
      </c>
      <c r="E35" s="28">
        <f t="shared" si="0"/>
        <v>2844000</v>
      </c>
      <c r="F35" s="28">
        <f t="shared" si="1"/>
        <v>3852000</v>
      </c>
      <c r="G35" s="28"/>
      <c r="H35" t="s">
        <v>512</v>
      </c>
      <c r="I35">
        <f t="shared" si="4"/>
        <v>17.399999999999999</v>
      </c>
      <c r="J35" s="30">
        <v>255</v>
      </c>
      <c r="K35" s="30">
        <v>426</v>
      </c>
      <c r="L35" s="28">
        <f t="shared" si="2"/>
        <v>1591199.9999999998</v>
      </c>
      <c r="M35" s="28">
        <f t="shared" si="3"/>
        <v>2658239.9999999995</v>
      </c>
    </row>
    <row r="36" spans="1:13" x14ac:dyDescent="0.3">
      <c r="A36" t="s">
        <v>509</v>
      </c>
      <c r="B36">
        <v>9.1</v>
      </c>
      <c r="C36" s="30">
        <v>1325</v>
      </c>
      <c r="D36" s="30">
        <v>1002</v>
      </c>
      <c r="E36" s="28">
        <f t="shared" si="0"/>
        <v>2989199.9999999995</v>
      </c>
      <c r="F36" s="28">
        <f t="shared" si="1"/>
        <v>2260511.9999999995</v>
      </c>
      <c r="G36" s="28"/>
      <c r="H36" t="s">
        <v>513</v>
      </c>
      <c r="I36">
        <f t="shared" si="4"/>
        <v>38.4</v>
      </c>
      <c r="J36" s="30">
        <v>265</v>
      </c>
      <c r="K36" s="30">
        <v>396</v>
      </c>
      <c r="L36" s="28">
        <f t="shared" si="2"/>
        <v>4324800</v>
      </c>
      <c r="M36" s="28">
        <f t="shared" si="3"/>
        <v>6462720</v>
      </c>
    </row>
    <row r="37" spans="1:13" x14ac:dyDescent="0.3">
      <c r="A37" t="s">
        <v>514</v>
      </c>
      <c r="B37">
        <v>11.7</v>
      </c>
      <c r="C37" s="30">
        <v>790</v>
      </c>
      <c r="D37" s="30">
        <v>948</v>
      </c>
      <c r="E37" s="28">
        <f t="shared" si="0"/>
        <v>2768159.9999999995</v>
      </c>
      <c r="F37" s="28">
        <f t="shared" si="1"/>
        <v>3321791.9999999995</v>
      </c>
      <c r="G37" s="28"/>
      <c r="H37" t="s">
        <v>515</v>
      </c>
      <c r="I37">
        <f t="shared" si="4"/>
        <v>31.8</v>
      </c>
      <c r="J37" s="30">
        <v>300</v>
      </c>
      <c r="K37" s="30">
        <v>300</v>
      </c>
      <c r="L37" s="28">
        <f t="shared" si="2"/>
        <v>3945600</v>
      </c>
      <c r="M37" s="28">
        <f t="shared" si="3"/>
        <v>3945600</v>
      </c>
    </row>
    <row r="38" spans="1:13" x14ac:dyDescent="0.3">
      <c r="A38" t="s">
        <v>516</v>
      </c>
      <c r="B38">
        <v>7.5</v>
      </c>
      <c r="C38" s="30">
        <v>830</v>
      </c>
      <c r="D38" s="30">
        <v>922</v>
      </c>
      <c r="E38" s="28">
        <f t="shared" si="0"/>
        <v>1235039.9999999998</v>
      </c>
      <c r="F38" s="28">
        <f t="shared" si="1"/>
        <v>1371935.9999999998</v>
      </c>
      <c r="G38" s="28"/>
      <c r="H38" t="s">
        <v>517</v>
      </c>
      <c r="I38">
        <f t="shared" si="4"/>
        <v>23.3</v>
      </c>
      <c r="J38" s="30">
        <v>230</v>
      </c>
      <c r="K38" s="30">
        <v>287</v>
      </c>
      <c r="L38" s="28">
        <f t="shared" si="2"/>
        <v>2086560</v>
      </c>
      <c r="M38" s="28">
        <f t="shared" si="3"/>
        <v>2603664</v>
      </c>
    </row>
    <row r="39" spans="1:13" x14ac:dyDescent="0.3">
      <c r="A39" t="s">
        <v>518</v>
      </c>
      <c r="B39">
        <v>20.8</v>
      </c>
      <c r="C39" s="30">
        <v>720</v>
      </c>
      <c r="D39" s="30">
        <v>921</v>
      </c>
      <c r="E39" s="28">
        <f t="shared" si="0"/>
        <v>5667839.9999999991</v>
      </c>
      <c r="F39" s="28">
        <f t="shared" si="1"/>
        <v>7250111.9999999991</v>
      </c>
      <c r="G39" s="28"/>
      <c r="H39" t="s">
        <v>503</v>
      </c>
      <c r="I39">
        <f t="shared" si="4"/>
        <v>17.600000000000001</v>
      </c>
      <c r="J39" s="30">
        <v>100</v>
      </c>
      <c r="K39" s="30">
        <v>233</v>
      </c>
      <c r="L39" s="28">
        <f t="shared" si="2"/>
        <v>633600.00000000012</v>
      </c>
      <c r="M39" s="28">
        <f t="shared" si="3"/>
        <v>1476288.0000000002</v>
      </c>
    </row>
    <row r="40" spans="1:13" x14ac:dyDescent="0.3">
      <c r="A40" t="s">
        <v>512</v>
      </c>
      <c r="B40">
        <v>17.399999999999999</v>
      </c>
      <c r="C40" s="30">
        <v>725</v>
      </c>
      <c r="D40" s="30">
        <v>913</v>
      </c>
      <c r="E40" s="28">
        <f t="shared" si="0"/>
        <v>4523999.9999999991</v>
      </c>
      <c r="F40" s="28">
        <f t="shared" si="1"/>
        <v>5697119.9999999991</v>
      </c>
      <c r="G40" s="28"/>
      <c r="H40" t="s">
        <v>519</v>
      </c>
      <c r="I40">
        <f t="shared" si="4"/>
        <v>29.4</v>
      </c>
      <c r="J40" s="30">
        <v>100</v>
      </c>
      <c r="K40" s="30">
        <v>191</v>
      </c>
      <c r="L40" s="28">
        <f t="shared" si="2"/>
        <v>1200000</v>
      </c>
      <c r="M40" s="28">
        <f t="shared" si="3"/>
        <v>2292000</v>
      </c>
    </row>
    <row r="41" spans="1:13" x14ac:dyDescent="0.3">
      <c r="A41" t="s">
        <v>520</v>
      </c>
      <c r="B41">
        <v>8.8000000000000007</v>
      </c>
      <c r="C41" s="30">
        <v>809</v>
      </c>
      <c r="D41" s="30">
        <v>870</v>
      </c>
      <c r="E41" s="28">
        <f t="shared" si="0"/>
        <v>1708608</v>
      </c>
      <c r="F41" s="28">
        <f t="shared" si="1"/>
        <v>1837440</v>
      </c>
      <c r="G41" s="28"/>
      <c r="H41" t="s">
        <v>521</v>
      </c>
      <c r="I41">
        <f t="shared" si="4"/>
        <v>16.399999999999999</v>
      </c>
      <c r="J41" s="30">
        <v>214</v>
      </c>
      <c r="K41" s="30">
        <v>175</v>
      </c>
      <c r="L41" s="28">
        <f t="shared" si="2"/>
        <v>1232639.9999999998</v>
      </c>
      <c r="M41" s="28">
        <f t="shared" si="3"/>
        <v>1007999.9999999999</v>
      </c>
    </row>
    <row r="42" spans="1:13" x14ac:dyDescent="0.3">
      <c r="A42" t="s">
        <v>522</v>
      </c>
      <c r="B42">
        <v>16.3</v>
      </c>
      <c r="C42" s="30">
        <v>825</v>
      </c>
      <c r="D42" s="30">
        <v>856</v>
      </c>
      <c r="E42" s="28">
        <f t="shared" si="0"/>
        <v>4712400</v>
      </c>
      <c r="F42" s="28">
        <f t="shared" si="1"/>
        <v>4889472</v>
      </c>
      <c r="G42" s="28"/>
      <c r="H42" t="s">
        <v>520</v>
      </c>
      <c r="I42">
        <f t="shared" si="4"/>
        <v>8.8000000000000007</v>
      </c>
      <c r="J42" s="30">
        <v>195</v>
      </c>
      <c r="K42" s="30">
        <v>175</v>
      </c>
      <c r="L42" s="28">
        <f t="shared" si="2"/>
        <v>411840</v>
      </c>
      <c r="M42" s="28">
        <f t="shared" si="3"/>
        <v>369600</v>
      </c>
    </row>
    <row r="43" spans="1:13" x14ac:dyDescent="0.3">
      <c r="A43" t="s">
        <v>506</v>
      </c>
      <c r="B43">
        <v>43.4</v>
      </c>
      <c r="C43" s="30">
        <v>885</v>
      </c>
      <c r="D43" s="30">
        <v>847</v>
      </c>
      <c r="E43" s="28">
        <f t="shared" si="0"/>
        <v>16567200</v>
      </c>
      <c r="F43" s="28">
        <f t="shared" si="1"/>
        <v>15855840</v>
      </c>
      <c r="G43" s="28"/>
      <c r="H43" t="s">
        <v>523</v>
      </c>
      <c r="I43">
        <f t="shared" si="4"/>
        <v>22.5</v>
      </c>
      <c r="J43" s="30">
        <v>65</v>
      </c>
      <c r="K43" s="30">
        <v>140</v>
      </c>
      <c r="L43" s="28">
        <f t="shared" si="2"/>
        <v>564720</v>
      </c>
      <c r="M43" s="28">
        <f t="shared" si="3"/>
        <v>1216320</v>
      </c>
    </row>
    <row r="44" spans="1:13" x14ac:dyDescent="0.3">
      <c r="A44" t="s">
        <v>524</v>
      </c>
      <c r="B44">
        <v>13.4</v>
      </c>
      <c r="C44" s="30">
        <v>735</v>
      </c>
      <c r="D44" s="30">
        <v>846</v>
      </c>
      <c r="E44" s="28">
        <f t="shared" si="0"/>
        <v>3175200</v>
      </c>
      <c r="F44" s="28">
        <f t="shared" si="1"/>
        <v>3654720</v>
      </c>
      <c r="G44" s="28"/>
      <c r="H44" t="s">
        <v>514</v>
      </c>
      <c r="I44">
        <f t="shared" si="4"/>
        <v>11.7</v>
      </c>
      <c r="J44" s="30">
        <v>90</v>
      </c>
      <c r="K44" s="30">
        <v>135</v>
      </c>
      <c r="L44" s="28">
        <f t="shared" si="2"/>
        <v>315359.99999999994</v>
      </c>
      <c r="M44" s="28">
        <f t="shared" si="3"/>
        <v>473039.99999999994</v>
      </c>
    </row>
    <row r="45" spans="1:13" x14ac:dyDescent="0.3">
      <c r="A45" t="s">
        <v>525</v>
      </c>
      <c r="B45">
        <v>10.3</v>
      </c>
      <c r="C45" s="30">
        <v>825</v>
      </c>
      <c r="D45" s="30">
        <v>841</v>
      </c>
      <c r="E45" s="28">
        <f t="shared" si="0"/>
        <v>2336400</v>
      </c>
      <c r="F45" s="28">
        <f t="shared" si="1"/>
        <v>2381712</v>
      </c>
      <c r="G45" s="28"/>
      <c r="H45" t="s">
        <v>516</v>
      </c>
      <c r="I45">
        <f t="shared" si="4"/>
        <v>7.5</v>
      </c>
      <c r="J45" s="30">
        <v>210</v>
      </c>
      <c r="K45" s="30">
        <v>116</v>
      </c>
      <c r="L45" s="28">
        <f t="shared" si="2"/>
        <v>312479.99999999994</v>
      </c>
      <c r="M45" s="28">
        <f t="shared" si="3"/>
        <v>172607.99999999997</v>
      </c>
    </row>
    <row r="46" spans="1:13" x14ac:dyDescent="0.3">
      <c r="A46" t="s">
        <v>526</v>
      </c>
      <c r="B46">
        <v>16.8</v>
      </c>
      <c r="C46" s="30">
        <v>645</v>
      </c>
      <c r="D46" s="30">
        <v>746</v>
      </c>
      <c r="E46" s="28">
        <f t="shared" si="0"/>
        <v>3839040</v>
      </c>
      <c r="F46" s="28">
        <f t="shared" si="1"/>
        <v>4440192</v>
      </c>
      <c r="G46" s="28"/>
      <c r="H46" t="s">
        <v>527</v>
      </c>
      <c r="I46">
        <f t="shared" si="4"/>
        <v>53.6</v>
      </c>
      <c r="J46" s="30">
        <v>55</v>
      </c>
      <c r="K46" s="30">
        <v>114</v>
      </c>
      <c r="L46" s="28">
        <f t="shared" si="2"/>
        <v>1298880</v>
      </c>
      <c r="M46" s="28">
        <f t="shared" si="3"/>
        <v>2692224</v>
      </c>
    </row>
    <row r="47" spans="1:13" x14ac:dyDescent="0.3">
      <c r="A47" t="s">
        <v>519</v>
      </c>
      <c r="B47">
        <v>29.4</v>
      </c>
      <c r="C47" s="30">
        <v>580</v>
      </c>
      <c r="D47" s="30">
        <v>694</v>
      </c>
      <c r="E47" s="28">
        <f t="shared" si="0"/>
        <v>6960000</v>
      </c>
      <c r="F47" s="28">
        <f t="shared" si="1"/>
        <v>8328000</v>
      </c>
      <c r="G47" s="28"/>
      <c r="H47" t="s">
        <v>525</v>
      </c>
      <c r="I47">
        <f t="shared" si="4"/>
        <v>10.3</v>
      </c>
      <c r="J47" s="30">
        <v>40</v>
      </c>
      <c r="K47" s="30">
        <v>110</v>
      </c>
      <c r="L47" s="28">
        <f t="shared" si="2"/>
        <v>113280</v>
      </c>
      <c r="M47" s="28">
        <f t="shared" si="3"/>
        <v>311520</v>
      </c>
    </row>
    <row r="48" spans="1:13" x14ac:dyDescent="0.3">
      <c r="A48" t="s">
        <v>528</v>
      </c>
      <c r="B48">
        <v>22.6</v>
      </c>
      <c r="C48" s="30">
        <v>520</v>
      </c>
      <c r="D48" s="30">
        <v>680</v>
      </c>
      <c r="E48" s="28">
        <f t="shared" si="0"/>
        <v>4542720.0000000009</v>
      </c>
      <c r="F48" s="28">
        <f t="shared" si="1"/>
        <v>5940480.0000000009</v>
      </c>
      <c r="G48" s="28"/>
      <c r="H48" t="s">
        <v>529</v>
      </c>
      <c r="I48">
        <f t="shared" si="4"/>
        <v>37.1</v>
      </c>
      <c r="J48" s="30">
        <v>45</v>
      </c>
      <c r="K48" s="30">
        <v>99</v>
      </c>
      <c r="L48" s="28">
        <f t="shared" si="2"/>
        <v>706320.00000000012</v>
      </c>
      <c r="M48" s="28">
        <f t="shared" si="3"/>
        <v>1553904.0000000002</v>
      </c>
    </row>
    <row r="49" spans="1:13" x14ac:dyDescent="0.3">
      <c r="A49" t="s">
        <v>530</v>
      </c>
      <c r="B49">
        <v>27</v>
      </c>
      <c r="C49" s="30">
        <v>290</v>
      </c>
      <c r="D49" s="30">
        <v>655</v>
      </c>
      <c r="E49" s="28">
        <f t="shared" si="0"/>
        <v>3145920</v>
      </c>
      <c r="F49" s="28">
        <f t="shared" si="1"/>
        <v>7105440</v>
      </c>
      <c r="G49" s="28"/>
      <c r="H49" t="s">
        <v>531</v>
      </c>
      <c r="I49">
        <f t="shared" si="4"/>
        <v>27.9</v>
      </c>
      <c r="J49" s="30">
        <v>45</v>
      </c>
      <c r="K49" s="30">
        <v>86</v>
      </c>
      <c r="L49" s="28">
        <f t="shared" si="2"/>
        <v>507600</v>
      </c>
      <c r="M49" s="28">
        <f t="shared" si="3"/>
        <v>970080</v>
      </c>
    </row>
    <row r="50" spans="1:13" x14ac:dyDescent="0.3">
      <c r="A50" t="s">
        <v>532</v>
      </c>
      <c r="B50">
        <v>19.100000000000001</v>
      </c>
      <c r="C50" s="30">
        <v>405</v>
      </c>
      <c r="D50" s="30">
        <v>621</v>
      </c>
      <c r="E50" s="28">
        <f t="shared" si="0"/>
        <v>2857680.0000000005</v>
      </c>
      <c r="F50" s="28">
        <f t="shared" si="1"/>
        <v>4381776.0000000009</v>
      </c>
      <c r="G50" s="28"/>
      <c r="H50" t="s">
        <v>533</v>
      </c>
      <c r="I50">
        <f t="shared" si="4"/>
        <v>22.1</v>
      </c>
      <c r="J50" s="30">
        <v>0</v>
      </c>
      <c r="K50" s="30">
        <v>77</v>
      </c>
      <c r="L50" s="28">
        <f t="shared" si="2"/>
        <v>0</v>
      </c>
      <c r="M50" s="28">
        <f t="shared" si="3"/>
        <v>654192.00000000012</v>
      </c>
    </row>
    <row r="51" spans="1:13" x14ac:dyDescent="0.3">
      <c r="A51" t="s">
        <v>521</v>
      </c>
      <c r="B51">
        <v>16.399999999999999</v>
      </c>
      <c r="C51" s="30">
        <v>495</v>
      </c>
      <c r="D51" s="30">
        <v>588</v>
      </c>
      <c r="E51" s="28">
        <f t="shared" si="0"/>
        <v>2851199.9999999995</v>
      </c>
      <c r="F51" s="28">
        <f t="shared" si="1"/>
        <v>3386879.9999999995</v>
      </c>
      <c r="G51" s="28"/>
      <c r="H51" t="s">
        <v>528</v>
      </c>
      <c r="I51">
        <f t="shared" si="4"/>
        <v>22.6</v>
      </c>
      <c r="J51" s="30">
        <v>55</v>
      </c>
      <c r="K51" s="30">
        <v>75</v>
      </c>
      <c r="L51" s="28">
        <f t="shared" si="2"/>
        <v>480480.00000000012</v>
      </c>
      <c r="M51" s="28">
        <f t="shared" si="3"/>
        <v>655200.00000000012</v>
      </c>
    </row>
    <row r="52" spans="1:13" x14ac:dyDescent="0.3">
      <c r="A52" t="s">
        <v>534</v>
      </c>
      <c r="B52">
        <v>20.5</v>
      </c>
      <c r="C52" s="30">
        <v>460</v>
      </c>
      <c r="D52" s="30">
        <v>557</v>
      </c>
      <c r="E52" s="28">
        <f t="shared" si="0"/>
        <v>3554880.0000000005</v>
      </c>
      <c r="F52" s="28">
        <f t="shared" si="1"/>
        <v>4304496.0000000009</v>
      </c>
      <c r="G52" s="28"/>
      <c r="H52" t="s">
        <v>535</v>
      </c>
      <c r="I52">
        <f t="shared" si="4"/>
        <v>13.2</v>
      </c>
      <c r="J52" s="30">
        <v>0</v>
      </c>
      <c r="K52" s="30">
        <v>71</v>
      </c>
      <c r="L52" s="28">
        <f t="shared" si="2"/>
        <v>0</v>
      </c>
      <c r="M52" s="28">
        <f t="shared" si="3"/>
        <v>299903.99999999994</v>
      </c>
    </row>
    <row r="53" spans="1:13" x14ac:dyDescent="0.3">
      <c r="A53" t="s">
        <v>536</v>
      </c>
      <c r="B53">
        <v>21.8</v>
      </c>
      <c r="C53" s="30">
        <v>330</v>
      </c>
      <c r="D53" s="30">
        <v>479</v>
      </c>
      <c r="E53" s="28">
        <f t="shared" si="0"/>
        <v>2756160</v>
      </c>
      <c r="F53" s="28">
        <f t="shared" si="1"/>
        <v>4000608</v>
      </c>
      <c r="G53" s="28"/>
      <c r="H53" t="s">
        <v>537</v>
      </c>
      <c r="I53">
        <f t="shared" si="4"/>
        <v>18.600000000000001</v>
      </c>
      <c r="J53" s="30">
        <v>65</v>
      </c>
      <c r="K53" s="30">
        <v>69</v>
      </c>
      <c r="L53" s="28">
        <f t="shared" si="2"/>
        <v>443040.00000000006</v>
      </c>
      <c r="M53" s="28">
        <f t="shared" si="3"/>
        <v>470304.00000000006</v>
      </c>
    </row>
    <row r="54" spans="1:13" x14ac:dyDescent="0.3">
      <c r="A54" t="s">
        <v>538</v>
      </c>
      <c r="B54">
        <v>17.899999999999999</v>
      </c>
      <c r="C54" s="30">
        <v>160</v>
      </c>
      <c r="D54" s="30">
        <v>443</v>
      </c>
      <c r="E54" s="28">
        <f t="shared" si="0"/>
        <v>1036799.9999999999</v>
      </c>
      <c r="F54" s="28">
        <f t="shared" si="1"/>
        <v>2870639.9999999995</v>
      </c>
      <c r="G54" s="28"/>
      <c r="H54" t="s">
        <v>510</v>
      </c>
      <c r="I54">
        <f t="shared" si="4"/>
        <v>16.8</v>
      </c>
      <c r="J54" s="30">
        <v>100</v>
      </c>
      <c r="K54" s="30">
        <v>68</v>
      </c>
      <c r="L54" s="28">
        <f t="shared" si="2"/>
        <v>595200</v>
      </c>
      <c r="M54" s="28">
        <f t="shared" si="3"/>
        <v>404736</v>
      </c>
    </row>
    <row r="55" spans="1:13" x14ac:dyDescent="0.3">
      <c r="A55" t="s">
        <v>539</v>
      </c>
      <c r="B55">
        <v>20</v>
      </c>
      <c r="C55" s="30">
        <v>270</v>
      </c>
      <c r="D55" s="30">
        <v>409</v>
      </c>
      <c r="E55" s="28">
        <f t="shared" si="0"/>
        <v>2021760</v>
      </c>
      <c r="F55" s="28">
        <f t="shared" si="1"/>
        <v>3062592</v>
      </c>
      <c r="G55" s="28"/>
      <c r="H55" t="s">
        <v>540</v>
      </c>
      <c r="I55">
        <f t="shared" si="4"/>
        <v>29.3</v>
      </c>
      <c r="J55" s="30">
        <v>65</v>
      </c>
      <c r="K55" s="30">
        <v>64</v>
      </c>
      <c r="L55" s="28">
        <f t="shared" si="2"/>
        <v>776880</v>
      </c>
      <c r="M55" s="28">
        <f t="shared" si="3"/>
        <v>764928</v>
      </c>
    </row>
    <row r="56" spans="1:13" x14ac:dyDescent="0.3">
      <c r="A56" t="s">
        <v>541</v>
      </c>
      <c r="B56">
        <v>15.3</v>
      </c>
      <c r="C56" s="30">
        <v>385</v>
      </c>
      <c r="D56" s="30">
        <v>406</v>
      </c>
      <c r="E56" s="28">
        <f t="shared" si="0"/>
        <v>2014320</v>
      </c>
      <c r="F56" s="28">
        <f t="shared" si="1"/>
        <v>2124192</v>
      </c>
      <c r="G56" s="28"/>
      <c r="H56" t="s">
        <v>542</v>
      </c>
      <c r="I56">
        <f t="shared" si="4"/>
        <v>43.9</v>
      </c>
      <c r="J56" s="30">
        <v>80</v>
      </c>
      <c r="K56" s="30">
        <v>63</v>
      </c>
      <c r="L56" s="28">
        <f t="shared" si="2"/>
        <v>1516800</v>
      </c>
      <c r="M56" s="28">
        <f t="shared" si="3"/>
        <v>1194480</v>
      </c>
    </row>
    <row r="57" spans="1:13" x14ac:dyDescent="0.3">
      <c r="A57" t="s">
        <v>543</v>
      </c>
      <c r="B57">
        <v>32.200000000000003</v>
      </c>
      <c r="C57" s="30">
        <v>235</v>
      </c>
      <c r="D57" s="30">
        <v>381</v>
      </c>
      <c r="E57" s="28">
        <f t="shared" si="0"/>
        <v>3135840.0000000005</v>
      </c>
      <c r="F57" s="28">
        <f t="shared" si="1"/>
        <v>5084064.0000000009</v>
      </c>
      <c r="G57" s="28"/>
      <c r="H57" t="s">
        <v>511</v>
      </c>
      <c r="I57">
        <f t="shared" si="4"/>
        <v>11.9</v>
      </c>
      <c r="J57" s="30">
        <v>0</v>
      </c>
      <c r="K57" s="30">
        <v>61</v>
      </c>
      <c r="L57" s="28">
        <f t="shared" si="2"/>
        <v>0</v>
      </c>
      <c r="M57" s="28">
        <f t="shared" si="3"/>
        <v>219600</v>
      </c>
    </row>
    <row r="58" spans="1:13" x14ac:dyDescent="0.3">
      <c r="A58" t="s">
        <v>540</v>
      </c>
      <c r="B58">
        <v>29.3</v>
      </c>
      <c r="C58" s="30">
        <v>370</v>
      </c>
      <c r="D58" s="30">
        <v>371</v>
      </c>
      <c r="E58" s="28">
        <f t="shared" si="0"/>
        <v>4422240</v>
      </c>
      <c r="F58" s="28">
        <f t="shared" si="1"/>
        <v>4434192</v>
      </c>
      <c r="G58" s="28"/>
      <c r="H58" t="s">
        <v>544</v>
      </c>
      <c r="I58">
        <f t="shared" si="4"/>
        <v>28.6</v>
      </c>
      <c r="J58" s="30">
        <v>30</v>
      </c>
      <c r="K58" s="30">
        <v>59</v>
      </c>
      <c r="L58" s="28">
        <f t="shared" si="2"/>
        <v>348480.00000000006</v>
      </c>
      <c r="M58" s="28">
        <f t="shared" si="3"/>
        <v>685344.00000000012</v>
      </c>
    </row>
    <row r="59" spans="1:13" x14ac:dyDescent="0.3">
      <c r="A59" t="s">
        <v>545</v>
      </c>
      <c r="B59">
        <v>25.7</v>
      </c>
      <c r="C59" s="30">
        <v>115</v>
      </c>
      <c r="D59" s="30">
        <v>370</v>
      </c>
      <c r="E59" s="28">
        <f t="shared" si="0"/>
        <v>1175759.9999999998</v>
      </c>
      <c r="F59" s="28">
        <f t="shared" si="1"/>
        <v>3782879.9999999995</v>
      </c>
      <c r="G59" s="28"/>
      <c r="H59" t="s">
        <v>546</v>
      </c>
      <c r="I59">
        <f t="shared" si="4"/>
        <v>52.4</v>
      </c>
      <c r="J59" s="30">
        <v>165</v>
      </c>
      <c r="K59" s="30">
        <v>57</v>
      </c>
      <c r="L59" s="28">
        <f t="shared" si="2"/>
        <v>3801600</v>
      </c>
      <c r="M59" s="28">
        <f t="shared" si="3"/>
        <v>1313280</v>
      </c>
    </row>
    <row r="60" spans="1:13" x14ac:dyDescent="0.3">
      <c r="A60" t="s">
        <v>547</v>
      </c>
      <c r="B60">
        <v>30.7</v>
      </c>
      <c r="C60" s="30">
        <v>105</v>
      </c>
      <c r="D60" s="30">
        <v>359</v>
      </c>
      <c r="E60" s="28">
        <f t="shared" si="0"/>
        <v>1325519.9999999998</v>
      </c>
      <c r="F60" s="28">
        <f t="shared" si="1"/>
        <v>4532015.9999999991</v>
      </c>
      <c r="G60" s="28"/>
      <c r="H60" t="s">
        <v>548</v>
      </c>
      <c r="I60">
        <f t="shared" si="4"/>
        <v>19.2</v>
      </c>
      <c r="J60" s="30">
        <v>60</v>
      </c>
      <c r="K60" s="30">
        <v>57</v>
      </c>
      <c r="L60" s="28">
        <f t="shared" si="2"/>
        <v>426239.99999999994</v>
      </c>
      <c r="M60" s="28">
        <f t="shared" si="3"/>
        <v>404927.99999999994</v>
      </c>
    </row>
    <row r="61" spans="1:13" x14ac:dyDescent="0.3">
      <c r="A61" t="s">
        <v>535</v>
      </c>
      <c r="B61">
        <v>13.2</v>
      </c>
      <c r="C61" s="30">
        <v>500</v>
      </c>
      <c r="D61" s="30">
        <v>350</v>
      </c>
      <c r="E61" s="28">
        <f t="shared" si="0"/>
        <v>2111999.9999999995</v>
      </c>
      <c r="F61" s="28">
        <f t="shared" si="1"/>
        <v>1478399.9999999998</v>
      </c>
      <c r="G61" s="28"/>
      <c r="H61" t="s">
        <v>526</v>
      </c>
      <c r="I61">
        <f t="shared" si="4"/>
        <v>16.8</v>
      </c>
      <c r="J61" s="30">
        <v>55</v>
      </c>
      <c r="K61" s="30">
        <v>55</v>
      </c>
      <c r="L61" s="28">
        <f t="shared" si="2"/>
        <v>327360</v>
      </c>
      <c r="M61" s="28">
        <f t="shared" si="3"/>
        <v>327360</v>
      </c>
    </row>
    <row r="62" spans="1:13" x14ac:dyDescent="0.3">
      <c r="A62" t="s">
        <v>517</v>
      </c>
      <c r="B62">
        <v>23.3</v>
      </c>
      <c r="C62" s="30">
        <v>370</v>
      </c>
      <c r="D62" s="30">
        <v>344</v>
      </c>
      <c r="E62" s="28">
        <f t="shared" si="0"/>
        <v>3356640</v>
      </c>
      <c r="F62" s="28">
        <f t="shared" si="1"/>
        <v>3120768</v>
      </c>
      <c r="G62" s="28"/>
      <c r="H62" t="s">
        <v>549</v>
      </c>
      <c r="I62">
        <f t="shared" si="4"/>
        <v>41.2</v>
      </c>
      <c r="J62" s="30">
        <v>55</v>
      </c>
      <c r="K62" s="30">
        <v>53</v>
      </c>
      <c r="L62" s="28">
        <f t="shared" si="2"/>
        <v>971520.00000000023</v>
      </c>
      <c r="M62" s="28">
        <f t="shared" si="3"/>
        <v>936192.00000000023</v>
      </c>
    </row>
    <row r="63" spans="1:13" x14ac:dyDescent="0.3">
      <c r="A63" t="s">
        <v>548</v>
      </c>
      <c r="B63">
        <v>19.2</v>
      </c>
      <c r="C63" s="30">
        <v>210</v>
      </c>
      <c r="D63" s="30">
        <v>318</v>
      </c>
      <c r="E63" s="28">
        <f t="shared" si="0"/>
        <v>1491839.9999999998</v>
      </c>
      <c r="F63" s="28">
        <f t="shared" si="1"/>
        <v>2259071.9999999995</v>
      </c>
      <c r="G63" s="28"/>
      <c r="H63" t="s">
        <v>550</v>
      </c>
      <c r="I63">
        <f t="shared" si="4"/>
        <v>29.7</v>
      </c>
      <c r="J63" s="30">
        <v>30</v>
      </c>
      <c r="K63" s="30">
        <v>53</v>
      </c>
      <c r="L63" s="28">
        <f t="shared" si="2"/>
        <v>364319.99999999994</v>
      </c>
      <c r="M63" s="28">
        <f t="shared" si="3"/>
        <v>643631.99999999988</v>
      </c>
    </row>
    <row r="64" spans="1:13" x14ac:dyDescent="0.3">
      <c r="A64" t="s">
        <v>551</v>
      </c>
      <c r="B64">
        <v>27.7</v>
      </c>
      <c r="C64" s="30">
        <v>310</v>
      </c>
      <c r="D64" s="30">
        <v>313</v>
      </c>
      <c r="E64" s="28">
        <f t="shared" si="0"/>
        <v>3467039.9999999995</v>
      </c>
      <c r="F64" s="28">
        <f t="shared" si="1"/>
        <v>3500591.9999999995</v>
      </c>
      <c r="G64" s="28"/>
      <c r="H64" t="s">
        <v>552</v>
      </c>
      <c r="I64">
        <f t="shared" si="4"/>
        <v>28.4</v>
      </c>
      <c r="J64" s="30">
        <v>45</v>
      </c>
      <c r="K64" s="30">
        <v>51</v>
      </c>
      <c r="L64" s="28">
        <f t="shared" si="2"/>
        <v>518400</v>
      </c>
      <c r="M64" s="28">
        <f t="shared" si="3"/>
        <v>587520</v>
      </c>
    </row>
    <row r="65" spans="1:13" x14ac:dyDescent="0.3">
      <c r="A65" t="s">
        <v>553</v>
      </c>
      <c r="B65">
        <v>29.7</v>
      </c>
      <c r="C65" s="30">
        <v>180</v>
      </c>
      <c r="D65" s="30">
        <v>313</v>
      </c>
      <c r="E65" s="28">
        <f t="shared" si="0"/>
        <v>2185919.9999999995</v>
      </c>
      <c r="F65" s="28">
        <f t="shared" si="1"/>
        <v>3801071.9999999995</v>
      </c>
      <c r="G65" s="28"/>
      <c r="H65" t="s">
        <v>532</v>
      </c>
      <c r="I65">
        <f t="shared" si="4"/>
        <v>19.100000000000001</v>
      </c>
      <c r="J65" s="30">
        <v>85</v>
      </c>
      <c r="K65" s="30">
        <v>50</v>
      </c>
      <c r="L65" s="28">
        <f t="shared" si="2"/>
        <v>599760.00000000012</v>
      </c>
      <c r="M65" s="28">
        <f t="shared" si="3"/>
        <v>352800.00000000006</v>
      </c>
    </row>
    <row r="66" spans="1:13" x14ac:dyDescent="0.3">
      <c r="A66" t="s">
        <v>552</v>
      </c>
      <c r="B66">
        <v>28.4</v>
      </c>
      <c r="C66" s="30">
        <v>315</v>
      </c>
      <c r="D66" s="30">
        <v>310</v>
      </c>
      <c r="E66" s="28">
        <f t="shared" si="0"/>
        <v>3628800</v>
      </c>
      <c r="F66" s="28">
        <f t="shared" si="1"/>
        <v>3571200</v>
      </c>
      <c r="G66" s="28"/>
      <c r="H66" t="s">
        <v>522</v>
      </c>
      <c r="I66">
        <f t="shared" si="4"/>
        <v>16.3</v>
      </c>
      <c r="J66" s="30">
        <v>45</v>
      </c>
      <c r="K66" s="30">
        <v>49</v>
      </c>
      <c r="L66" s="28">
        <f t="shared" si="2"/>
        <v>257040</v>
      </c>
      <c r="M66" s="28">
        <f t="shared" si="3"/>
        <v>279888</v>
      </c>
    </row>
    <row r="67" spans="1:13" x14ac:dyDescent="0.3">
      <c r="A67" t="s">
        <v>515</v>
      </c>
      <c r="B67">
        <v>31.8</v>
      </c>
      <c r="C67" s="30">
        <v>415</v>
      </c>
      <c r="D67" s="30">
        <v>296</v>
      </c>
      <c r="E67" s="28">
        <f t="shared" si="0"/>
        <v>5458080</v>
      </c>
      <c r="F67" s="28">
        <f t="shared" si="1"/>
        <v>3892992</v>
      </c>
      <c r="G67" s="28"/>
      <c r="H67" t="s">
        <v>554</v>
      </c>
      <c r="I67">
        <f t="shared" si="4"/>
        <v>37.6</v>
      </c>
      <c r="J67" s="30">
        <v>75</v>
      </c>
      <c r="K67" s="30">
        <v>45</v>
      </c>
      <c r="L67" s="28">
        <f t="shared" si="2"/>
        <v>1195200.0000000002</v>
      </c>
      <c r="M67" s="28">
        <f t="shared" si="3"/>
        <v>717120.00000000012</v>
      </c>
    </row>
    <row r="68" spans="1:13" x14ac:dyDescent="0.3">
      <c r="A68" t="s">
        <v>555</v>
      </c>
      <c r="B68">
        <v>21.6</v>
      </c>
      <c r="C68" s="30">
        <v>190</v>
      </c>
      <c r="D68" s="30">
        <v>296</v>
      </c>
      <c r="E68" s="28">
        <f t="shared" si="0"/>
        <v>1568640.0000000002</v>
      </c>
      <c r="F68" s="28">
        <f t="shared" si="1"/>
        <v>2443776.0000000005</v>
      </c>
      <c r="G68" s="28"/>
      <c r="H68" t="s">
        <v>556</v>
      </c>
      <c r="I68">
        <f t="shared" si="4"/>
        <v>46.1</v>
      </c>
      <c r="J68" s="30">
        <v>70</v>
      </c>
      <c r="K68" s="30">
        <v>43</v>
      </c>
      <c r="L68" s="28">
        <f t="shared" si="2"/>
        <v>1401120</v>
      </c>
      <c r="M68" s="28">
        <f t="shared" si="3"/>
        <v>860688</v>
      </c>
    </row>
    <row r="69" spans="1:13" x14ac:dyDescent="0.3">
      <c r="A69" t="s">
        <v>557</v>
      </c>
      <c r="B69">
        <v>18.600000000000001</v>
      </c>
      <c r="C69" s="30">
        <v>260</v>
      </c>
      <c r="D69" s="30">
        <v>295</v>
      </c>
      <c r="E69" s="28">
        <f t="shared" si="0"/>
        <v>1772160.0000000002</v>
      </c>
      <c r="F69" s="28">
        <f t="shared" si="1"/>
        <v>2010720.0000000002</v>
      </c>
      <c r="G69" s="28"/>
      <c r="H69" t="s">
        <v>518</v>
      </c>
      <c r="I69">
        <f t="shared" si="4"/>
        <v>20.8</v>
      </c>
      <c r="J69" s="30">
        <v>110</v>
      </c>
      <c r="K69" s="30">
        <v>42</v>
      </c>
      <c r="L69" s="28">
        <f t="shared" si="2"/>
        <v>865919.99999999988</v>
      </c>
      <c r="M69" s="28">
        <f t="shared" si="3"/>
        <v>330623.99999999994</v>
      </c>
    </row>
    <row r="70" spans="1:13" x14ac:dyDescent="0.3">
      <c r="A70" t="s">
        <v>558</v>
      </c>
      <c r="B70">
        <v>20.9</v>
      </c>
      <c r="C70" s="30">
        <v>320</v>
      </c>
      <c r="D70" s="30">
        <v>286</v>
      </c>
      <c r="E70" s="28">
        <f t="shared" si="0"/>
        <v>2534400</v>
      </c>
      <c r="F70" s="28">
        <f t="shared" si="1"/>
        <v>2265120</v>
      </c>
      <c r="G70" s="28"/>
      <c r="H70" t="s">
        <v>534</v>
      </c>
      <c r="I70">
        <f t="shared" si="4"/>
        <v>20.5</v>
      </c>
      <c r="J70" s="30">
        <v>45</v>
      </c>
      <c r="K70" s="30">
        <v>40</v>
      </c>
      <c r="L70" s="28">
        <f t="shared" si="2"/>
        <v>347760.00000000006</v>
      </c>
      <c r="M70" s="28">
        <f t="shared" si="3"/>
        <v>309120.00000000006</v>
      </c>
    </row>
    <row r="71" spans="1:13" x14ac:dyDescent="0.3">
      <c r="A71" t="s">
        <v>504</v>
      </c>
      <c r="B71">
        <v>36.299999999999997</v>
      </c>
      <c r="C71" s="30">
        <v>370</v>
      </c>
      <c r="D71" s="30">
        <v>285</v>
      </c>
      <c r="E71" s="28">
        <f t="shared" si="0"/>
        <v>5665440</v>
      </c>
      <c r="F71" s="28">
        <f t="shared" si="1"/>
        <v>4363920</v>
      </c>
      <c r="G71" s="28"/>
      <c r="H71" t="s">
        <v>559</v>
      </c>
      <c r="I71">
        <f t="shared" si="4"/>
        <v>56.1</v>
      </c>
      <c r="J71" s="30">
        <v>95</v>
      </c>
      <c r="K71" s="30">
        <v>40</v>
      </c>
      <c r="L71" s="28">
        <f t="shared" si="2"/>
        <v>2357520</v>
      </c>
      <c r="M71" s="28">
        <f t="shared" si="3"/>
        <v>992640</v>
      </c>
    </row>
    <row r="72" spans="1:13" x14ac:dyDescent="0.3">
      <c r="A72" t="s">
        <v>529</v>
      </c>
      <c r="B72">
        <v>37.1</v>
      </c>
      <c r="C72" s="30">
        <v>275</v>
      </c>
      <c r="D72" s="30">
        <v>285</v>
      </c>
      <c r="E72" s="28">
        <f t="shared" si="0"/>
        <v>4316400.0000000009</v>
      </c>
      <c r="F72" s="28">
        <f t="shared" si="1"/>
        <v>4473360.0000000009</v>
      </c>
      <c r="G72" s="28"/>
      <c r="H72" t="s">
        <v>560</v>
      </c>
      <c r="I72">
        <f t="shared" si="4"/>
        <v>38.4</v>
      </c>
      <c r="J72" s="30">
        <v>0</v>
      </c>
      <c r="K72" s="30">
        <v>34</v>
      </c>
      <c r="L72" s="28">
        <f t="shared" si="2"/>
        <v>0</v>
      </c>
      <c r="M72" s="28">
        <f t="shared" si="3"/>
        <v>554880</v>
      </c>
    </row>
    <row r="73" spans="1:13" x14ac:dyDescent="0.3">
      <c r="A73" t="s">
        <v>523</v>
      </c>
      <c r="B73">
        <v>22.5</v>
      </c>
      <c r="C73" s="30">
        <v>275</v>
      </c>
      <c r="D73" s="30">
        <v>278</v>
      </c>
      <c r="E73" s="28">
        <f t="shared" si="0"/>
        <v>2389200</v>
      </c>
      <c r="F73" s="28">
        <f t="shared" si="1"/>
        <v>2415264</v>
      </c>
      <c r="G73" s="28"/>
      <c r="H73" t="s">
        <v>561</v>
      </c>
      <c r="I73">
        <f t="shared" si="4"/>
        <v>59.5</v>
      </c>
      <c r="J73" s="30">
        <v>15</v>
      </c>
      <c r="K73" s="30">
        <v>34</v>
      </c>
      <c r="L73" s="28">
        <f t="shared" si="2"/>
        <v>396720</v>
      </c>
      <c r="M73" s="28">
        <f t="shared" si="3"/>
        <v>899232</v>
      </c>
    </row>
    <row r="74" spans="1:13" x14ac:dyDescent="0.3">
      <c r="A74" t="s">
        <v>537</v>
      </c>
      <c r="B74">
        <v>18.600000000000001</v>
      </c>
      <c r="C74" s="30">
        <v>105</v>
      </c>
      <c r="D74" s="30">
        <v>263</v>
      </c>
      <c r="E74" s="28">
        <f t="shared" si="0"/>
        <v>715680.00000000012</v>
      </c>
      <c r="F74" s="28">
        <f t="shared" si="1"/>
        <v>1792608.0000000002</v>
      </c>
      <c r="G74" s="28"/>
      <c r="H74" t="s">
        <v>543</v>
      </c>
      <c r="I74">
        <f t="shared" si="4"/>
        <v>32.200000000000003</v>
      </c>
      <c r="J74" s="30">
        <v>0</v>
      </c>
      <c r="K74" s="30">
        <v>30</v>
      </c>
      <c r="L74" s="28">
        <f t="shared" si="2"/>
        <v>0</v>
      </c>
      <c r="M74" s="28">
        <f t="shared" si="3"/>
        <v>400320.00000000006</v>
      </c>
    </row>
    <row r="75" spans="1:13" x14ac:dyDescent="0.3">
      <c r="A75" t="s">
        <v>562</v>
      </c>
      <c r="B75">
        <v>22</v>
      </c>
      <c r="C75" s="30">
        <v>425</v>
      </c>
      <c r="D75" s="30">
        <v>254</v>
      </c>
      <c r="E75" s="28">
        <f t="shared" si="0"/>
        <v>3590400</v>
      </c>
      <c r="F75" s="28">
        <f t="shared" si="1"/>
        <v>2145792</v>
      </c>
      <c r="G75" s="28"/>
      <c r="H75" t="s">
        <v>563</v>
      </c>
      <c r="I75">
        <f t="shared" si="4"/>
        <v>51.6</v>
      </c>
      <c r="J75" s="30">
        <v>15</v>
      </c>
      <c r="K75" s="30">
        <v>30</v>
      </c>
      <c r="L75" s="28">
        <f t="shared" si="2"/>
        <v>339840</v>
      </c>
      <c r="M75" s="28">
        <f t="shared" si="3"/>
        <v>679680</v>
      </c>
    </row>
    <row r="76" spans="1:13" x14ac:dyDescent="0.3">
      <c r="A76" t="s">
        <v>564</v>
      </c>
      <c r="B76">
        <v>42.6</v>
      </c>
      <c r="C76" s="30">
        <v>170</v>
      </c>
      <c r="D76" s="30">
        <v>249</v>
      </c>
      <c r="E76" s="28">
        <f t="shared" si="0"/>
        <v>3117120</v>
      </c>
      <c r="F76" s="28">
        <f t="shared" si="1"/>
        <v>4565664</v>
      </c>
      <c r="G76" s="28"/>
      <c r="H76" t="s">
        <v>541</v>
      </c>
      <c r="I76">
        <f t="shared" si="4"/>
        <v>15.3</v>
      </c>
      <c r="J76" s="30">
        <v>10</v>
      </c>
      <c r="K76" s="30">
        <v>29</v>
      </c>
      <c r="L76" s="28">
        <f t="shared" si="2"/>
        <v>52320</v>
      </c>
      <c r="M76" s="28">
        <f t="shared" si="3"/>
        <v>151728</v>
      </c>
    </row>
    <row r="77" spans="1:13" x14ac:dyDescent="0.3">
      <c r="A77" t="s">
        <v>565</v>
      </c>
      <c r="B77">
        <v>14.8</v>
      </c>
      <c r="C77" s="30">
        <v>145</v>
      </c>
      <c r="D77" s="30">
        <v>229</v>
      </c>
      <c r="E77" s="28">
        <f t="shared" si="0"/>
        <v>723840</v>
      </c>
      <c r="F77" s="28">
        <f t="shared" si="1"/>
        <v>1143168</v>
      </c>
      <c r="G77" s="28"/>
      <c r="H77" t="s">
        <v>539</v>
      </c>
      <c r="I77">
        <f t="shared" si="4"/>
        <v>20</v>
      </c>
      <c r="J77" s="30">
        <v>20</v>
      </c>
      <c r="K77" s="30">
        <v>28</v>
      </c>
      <c r="L77" s="28">
        <f t="shared" si="2"/>
        <v>149760</v>
      </c>
      <c r="M77" s="28">
        <f t="shared" si="3"/>
        <v>209664</v>
      </c>
    </row>
    <row r="78" spans="1:13" x14ac:dyDescent="0.3">
      <c r="A78" t="s">
        <v>566</v>
      </c>
      <c r="B78">
        <v>35.9</v>
      </c>
      <c r="C78" s="30">
        <v>120</v>
      </c>
      <c r="D78" s="30">
        <v>222</v>
      </c>
      <c r="E78" s="28">
        <f t="shared" si="0"/>
        <v>1814400</v>
      </c>
      <c r="F78" s="28">
        <f t="shared" si="1"/>
        <v>3356640</v>
      </c>
      <c r="G78" s="28"/>
      <c r="H78" t="s">
        <v>567</v>
      </c>
      <c r="I78">
        <f t="shared" si="4"/>
        <v>43.8</v>
      </c>
      <c r="J78" s="30">
        <v>10</v>
      </c>
      <c r="K78" s="30">
        <v>27</v>
      </c>
      <c r="L78" s="28">
        <f t="shared" si="2"/>
        <v>189120</v>
      </c>
      <c r="M78" s="28">
        <f t="shared" si="3"/>
        <v>510624</v>
      </c>
    </row>
    <row r="79" spans="1:13" x14ac:dyDescent="0.3">
      <c r="A79" t="s">
        <v>568</v>
      </c>
      <c r="B79">
        <v>21.2</v>
      </c>
      <c r="C79" s="30">
        <v>215</v>
      </c>
      <c r="D79" s="30">
        <v>222</v>
      </c>
      <c r="E79" s="28">
        <f t="shared" si="0"/>
        <v>1733759.9999999995</v>
      </c>
      <c r="F79" s="28">
        <f t="shared" si="1"/>
        <v>1790207.9999999995</v>
      </c>
      <c r="G79" s="28"/>
      <c r="H79" t="s">
        <v>569</v>
      </c>
      <c r="I79">
        <f t="shared" si="4"/>
        <v>39.200000000000003</v>
      </c>
      <c r="J79" s="30">
        <v>35</v>
      </c>
      <c r="K79" s="30">
        <v>23</v>
      </c>
      <c r="L79" s="28">
        <f t="shared" si="2"/>
        <v>584640.00000000012</v>
      </c>
      <c r="M79" s="28">
        <f t="shared" si="3"/>
        <v>384192.00000000006</v>
      </c>
    </row>
    <row r="80" spans="1:13" x14ac:dyDescent="0.3">
      <c r="A80" t="s">
        <v>570</v>
      </c>
      <c r="B80">
        <v>24.8</v>
      </c>
      <c r="C80" s="30">
        <v>150</v>
      </c>
      <c r="D80" s="30">
        <v>217</v>
      </c>
      <c r="E80" s="28">
        <f t="shared" si="0"/>
        <v>1468800</v>
      </c>
      <c r="F80" s="28">
        <f t="shared" si="1"/>
        <v>2124864</v>
      </c>
      <c r="G80" s="28"/>
      <c r="H80" t="s">
        <v>571</v>
      </c>
      <c r="I80">
        <f t="shared" si="4"/>
        <v>45.2</v>
      </c>
      <c r="J80" s="30">
        <v>10</v>
      </c>
      <c r="K80" s="30">
        <v>23</v>
      </c>
      <c r="L80" s="28">
        <f t="shared" si="2"/>
        <v>195840.00000000003</v>
      </c>
      <c r="M80" s="28">
        <f t="shared" si="3"/>
        <v>450432.00000000006</v>
      </c>
    </row>
    <row r="81" spans="1:13" x14ac:dyDescent="0.3">
      <c r="A81" t="s">
        <v>533</v>
      </c>
      <c r="B81">
        <v>22.1</v>
      </c>
      <c r="C81" s="30">
        <v>180</v>
      </c>
      <c r="D81" s="30">
        <v>213</v>
      </c>
      <c r="E81" s="28">
        <f t="shared" si="0"/>
        <v>1529280.0000000002</v>
      </c>
      <c r="F81" s="28">
        <f t="shared" si="1"/>
        <v>1809648.0000000005</v>
      </c>
      <c r="G81" s="28"/>
      <c r="H81" t="s">
        <v>572</v>
      </c>
      <c r="I81">
        <f t="shared" si="4"/>
        <v>37</v>
      </c>
      <c r="J81" s="30">
        <v>20</v>
      </c>
      <c r="K81" s="30">
        <v>23</v>
      </c>
      <c r="L81" s="28">
        <f t="shared" si="2"/>
        <v>312960</v>
      </c>
      <c r="M81" s="28">
        <f t="shared" si="3"/>
        <v>359904</v>
      </c>
    </row>
    <row r="82" spans="1:13" x14ac:dyDescent="0.3">
      <c r="A82" t="s">
        <v>573</v>
      </c>
      <c r="B82">
        <v>31.5</v>
      </c>
      <c r="C82" s="30">
        <v>140</v>
      </c>
      <c r="D82" s="30">
        <v>197</v>
      </c>
      <c r="E82" s="28">
        <f t="shared" si="0"/>
        <v>1821120</v>
      </c>
      <c r="F82" s="28">
        <f t="shared" si="1"/>
        <v>2562576</v>
      </c>
      <c r="G82" s="28"/>
      <c r="H82" t="s">
        <v>574</v>
      </c>
      <c r="I82">
        <f t="shared" si="4"/>
        <v>37.799999999999997</v>
      </c>
      <c r="J82" s="30">
        <v>0</v>
      </c>
      <c r="K82" s="30">
        <v>23</v>
      </c>
      <c r="L82" s="28">
        <f t="shared" si="2"/>
        <v>0</v>
      </c>
      <c r="M82" s="28">
        <f t="shared" si="3"/>
        <v>368736</v>
      </c>
    </row>
    <row r="83" spans="1:13" x14ac:dyDescent="0.3">
      <c r="A83" t="s">
        <v>550</v>
      </c>
      <c r="B83">
        <v>29.7</v>
      </c>
      <c r="C83" s="30">
        <v>140</v>
      </c>
      <c r="D83" s="30">
        <v>197</v>
      </c>
      <c r="E83" s="28">
        <f t="shared" si="0"/>
        <v>1700159.9999999998</v>
      </c>
      <c r="F83" s="28">
        <f t="shared" si="1"/>
        <v>2392367.9999999995</v>
      </c>
      <c r="G83" s="28"/>
      <c r="H83" t="s">
        <v>575</v>
      </c>
      <c r="I83">
        <f t="shared" si="4"/>
        <v>20.6</v>
      </c>
      <c r="J83" s="30">
        <v>0</v>
      </c>
      <c r="K83" s="30">
        <v>22</v>
      </c>
      <c r="L83" s="28">
        <f t="shared" si="2"/>
        <v>0</v>
      </c>
      <c r="M83" s="28">
        <f t="shared" si="3"/>
        <v>171072.00000000003</v>
      </c>
    </row>
    <row r="84" spans="1:13" x14ac:dyDescent="0.3">
      <c r="A84" t="s">
        <v>576</v>
      </c>
      <c r="B84">
        <v>13.6</v>
      </c>
      <c r="C84" s="30">
        <v>285</v>
      </c>
      <c r="D84" s="30">
        <v>187</v>
      </c>
      <c r="E84" s="28">
        <f t="shared" si="0"/>
        <v>1258560</v>
      </c>
      <c r="F84" s="28">
        <f t="shared" si="1"/>
        <v>825792</v>
      </c>
      <c r="G84" s="28"/>
      <c r="H84" t="s">
        <v>524</v>
      </c>
      <c r="I84">
        <f t="shared" si="4"/>
        <v>13.4</v>
      </c>
      <c r="J84" s="30">
        <v>15</v>
      </c>
      <c r="K84" s="30">
        <v>22</v>
      </c>
      <c r="L84" s="28">
        <f t="shared" si="2"/>
        <v>64800</v>
      </c>
      <c r="M84" s="28">
        <f t="shared" si="3"/>
        <v>95040</v>
      </c>
    </row>
    <row r="85" spans="1:13" x14ac:dyDescent="0.3">
      <c r="A85" t="s">
        <v>577</v>
      </c>
      <c r="B85">
        <v>14.9</v>
      </c>
      <c r="C85" s="30">
        <v>155</v>
      </c>
      <c r="D85" s="30">
        <v>181</v>
      </c>
      <c r="E85" s="28">
        <f t="shared" si="0"/>
        <v>781200</v>
      </c>
      <c r="F85" s="28">
        <f t="shared" si="1"/>
        <v>912240</v>
      </c>
      <c r="G85" s="28"/>
      <c r="H85" t="s">
        <v>578</v>
      </c>
      <c r="I85">
        <f t="shared" si="4"/>
        <v>25.4</v>
      </c>
      <c r="J85" s="30">
        <v>0</v>
      </c>
      <c r="K85" s="30">
        <v>20</v>
      </c>
      <c r="L85" s="28">
        <f t="shared" si="2"/>
        <v>0</v>
      </c>
      <c r="M85" s="28">
        <f t="shared" si="3"/>
        <v>201600</v>
      </c>
    </row>
    <row r="86" spans="1:13" x14ac:dyDescent="0.3">
      <c r="A86" t="s">
        <v>575</v>
      </c>
      <c r="B86">
        <v>20.6</v>
      </c>
      <c r="C86" s="30">
        <v>130</v>
      </c>
      <c r="D86" s="30">
        <v>180</v>
      </c>
      <c r="E86" s="28">
        <f t="shared" si="0"/>
        <v>1010880.0000000002</v>
      </c>
      <c r="F86" s="28">
        <f t="shared" si="1"/>
        <v>1399680.0000000002</v>
      </c>
      <c r="G86" s="28"/>
      <c r="H86" t="s">
        <v>557</v>
      </c>
      <c r="I86">
        <f t="shared" si="4"/>
        <v>18.600000000000001</v>
      </c>
      <c r="J86" s="30">
        <v>0</v>
      </c>
      <c r="K86" s="30">
        <v>20</v>
      </c>
      <c r="L86" s="28">
        <f t="shared" si="2"/>
        <v>0</v>
      </c>
      <c r="M86" s="28">
        <f t="shared" si="3"/>
        <v>136320.00000000003</v>
      </c>
    </row>
    <row r="87" spans="1:13" x14ac:dyDescent="0.3">
      <c r="A87" t="s">
        <v>579</v>
      </c>
      <c r="B87">
        <v>24.4</v>
      </c>
      <c r="C87" s="30">
        <v>200</v>
      </c>
      <c r="D87" s="30">
        <v>170</v>
      </c>
      <c r="E87" s="28">
        <f t="shared" si="0"/>
        <v>1920000</v>
      </c>
      <c r="F87" s="28">
        <f t="shared" si="1"/>
        <v>1632000</v>
      </c>
      <c r="G87" s="28"/>
      <c r="H87" t="s">
        <v>580</v>
      </c>
      <c r="I87">
        <f t="shared" si="4"/>
        <v>38.700000000000003</v>
      </c>
      <c r="J87" s="30">
        <v>15</v>
      </c>
      <c r="K87" s="30">
        <v>18</v>
      </c>
      <c r="L87" s="28">
        <f t="shared" si="2"/>
        <v>246960.00000000006</v>
      </c>
      <c r="M87" s="28">
        <f t="shared" si="3"/>
        <v>296352.00000000006</v>
      </c>
    </row>
    <row r="88" spans="1:13" x14ac:dyDescent="0.3">
      <c r="A88" t="s">
        <v>513</v>
      </c>
      <c r="B88">
        <v>38.4</v>
      </c>
      <c r="C88" s="30">
        <v>170</v>
      </c>
      <c r="D88" s="30">
        <v>168</v>
      </c>
      <c r="E88" s="28">
        <f t="shared" ref="E88:E151" si="5">IF($B88&gt;$A$17,$B88-$A$17,0)*$A$16*C88</f>
        <v>2774400</v>
      </c>
      <c r="F88" s="28">
        <f t="shared" ref="F88:F151" si="6">IF($B88&gt;$A$17,$B88-$A$17,0)*$A$16*D88</f>
        <v>2741760</v>
      </c>
      <c r="G88" s="28"/>
      <c r="H88" t="s">
        <v>581</v>
      </c>
      <c r="I88">
        <f t="shared" si="4"/>
        <v>27.9</v>
      </c>
      <c r="J88" s="30">
        <v>15</v>
      </c>
      <c r="K88" s="30">
        <v>18</v>
      </c>
      <c r="L88" s="28">
        <f t="shared" ref="L88:L119" si="7">IF($I88&gt;$A$17,$I88-$A$17,0)*$A$16*J88</f>
        <v>169200</v>
      </c>
      <c r="M88" s="28">
        <f t="shared" ref="M88:M119" si="8">IF($I88&gt;$A$17,$I88-$A$17,0)*$A$16*K88</f>
        <v>203040</v>
      </c>
    </row>
    <row r="89" spans="1:13" x14ac:dyDescent="0.3">
      <c r="A89" t="s">
        <v>582</v>
      </c>
      <c r="B89">
        <v>26.6</v>
      </c>
      <c r="C89" s="30">
        <v>110</v>
      </c>
      <c r="D89" s="30">
        <v>165</v>
      </c>
      <c r="E89" s="28">
        <f t="shared" si="5"/>
        <v>1172160.0000000002</v>
      </c>
      <c r="F89" s="28">
        <f t="shared" si="6"/>
        <v>1758240.0000000002</v>
      </c>
      <c r="G89" s="28"/>
      <c r="H89" t="s">
        <v>583</v>
      </c>
      <c r="I89">
        <f t="shared" ref="I89:I118" si="9">VLOOKUP(H89,$A$24:$B$188,2,FALSE)</f>
        <v>31.6</v>
      </c>
      <c r="J89" s="30">
        <v>70</v>
      </c>
      <c r="K89" s="30">
        <v>18</v>
      </c>
      <c r="L89" s="28">
        <f t="shared" si="7"/>
        <v>913920.00000000012</v>
      </c>
      <c r="M89" s="28">
        <f t="shared" si="8"/>
        <v>235008.00000000003</v>
      </c>
    </row>
    <row r="90" spans="1:13" x14ac:dyDescent="0.3">
      <c r="A90" t="s">
        <v>544</v>
      </c>
      <c r="B90">
        <v>28.6</v>
      </c>
      <c r="C90" s="30">
        <v>100</v>
      </c>
      <c r="D90" s="30">
        <v>159</v>
      </c>
      <c r="E90" s="28">
        <f t="shared" si="5"/>
        <v>1161600.0000000002</v>
      </c>
      <c r="F90" s="28">
        <f t="shared" si="6"/>
        <v>1846944.0000000002</v>
      </c>
      <c r="G90" s="28"/>
      <c r="H90" t="s">
        <v>584</v>
      </c>
      <c r="I90">
        <v>76.099999999999994</v>
      </c>
      <c r="J90" s="30">
        <v>0</v>
      </c>
      <c r="K90" s="30">
        <v>17</v>
      </c>
      <c r="L90" s="28">
        <f t="shared" si="7"/>
        <v>0</v>
      </c>
      <c r="M90" s="28">
        <f t="shared" si="8"/>
        <v>585071.99999999988</v>
      </c>
    </row>
    <row r="91" spans="1:13" x14ac:dyDescent="0.3">
      <c r="A91" t="s">
        <v>571</v>
      </c>
      <c r="B91">
        <v>45.2</v>
      </c>
      <c r="C91" s="30">
        <v>165</v>
      </c>
      <c r="D91" s="30">
        <v>146</v>
      </c>
      <c r="E91" s="28">
        <f t="shared" si="5"/>
        <v>3231360.0000000005</v>
      </c>
      <c r="F91" s="28">
        <f t="shared" si="6"/>
        <v>2859264.0000000005</v>
      </c>
      <c r="G91" s="28"/>
      <c r="H91" t="s">
        <v>585</v>
      </c>
      <c r="I91">
        <f t="shared" si="9"/>
        <v>54.2</v>
      </c>
      <c r="J91" s="30">
        <v>0</v>
      </c>
      <c r="K91" s="30">
        <v>17</v>
      </c>
      <c r="L91" s="28">
        <f t="shared" si="7"/>
        <v>0</v>
      </c>
      <c r="M91" s="28">
        <f t="shared" si="8"/>
        <v>406368.00000000006</v>
      </c>
    </row>
    <row r="92" spans="1:13" x14ac:dyDescent="0.3">
      <c r="A92" t="s">
        <v>542</v>
      </c>
      <c r="B92">
        <v>43.9</v>
      </c>
      <c r="C92" s="30">
        <v>165</v>
      </c>
      <c r="D92" s="30">
        <v>143</v>
      </c>
      <c r="E92" s="28">
        <f t="shared" si="5"/>
        <v>3128400</v>
      </c>
      <c r="F92" s="28">
        <f t="shared" si="6"/>
        <v>2711280</v>
      </c>
      <c r="G92" s="28"/>
      <c r="H92" t="s">
        <v>573</v>
      </c>
      <c r="I92">
        <f t="shared" si="9"/>
        <v>31.5</v>
      </c>
      <c r="J92" s="30">
        <v>95</v>
      </c>
      <c r="K92" s="30">
        <v>17</v>
      </c>
      <c r="L92" s="28">
        <f t="shared" si="7"/>
        <v>1235760</v>
      </c>
      <c r="M92" s="28">
        <f t="shared" si="8"/>
        <v>221136</v>
      </c>
    </row>
    <row r="93" spans="1:13" x14ac:dyDescent="0.3">
      <c r="A93" t="s">
        <v>586</v>
      </c>
      <c r="B93">
        <v>35.1</v>
      </c>
      <c r="C93" s="30">
        <v>115</v>
      </c>
      <c r="D93" s="30">
        <v>136</v>
      </c>
      <c r="E93" s="28">
        <f t="shared" si="5"/>
        <v>1694640.0000000002</v>
      </c>
      <c r="F93" s="28">
        <f t="shared" si="6"/>
        <v>2004096.0000000002</v>
      </c>
      <c r="G93" s="28"/>
      <c r="H93" t="s">
        <v>564</v>
      </c>
      <c r="I93">
        <f t="shared" si="9"/>
        <v>42.6</v>
      </c>
      <c r="J93" s="30">
        <v>0</v>
      </c>
      <c r="K93" s="30">
        <v>17</v>
      </c>
      <c r="L93" s="28">
        <f t="shared" si="7"/>
        <v>0</v>
      </c>
      <c r="M93" s="28">
        <f t="shared" si="8"/>
        <v>311712</v>
      </c>
    </row>
    <row r="94" spans="1:13" x14ac:dyDescent="0.3">
      <c r="A94" t="s">
        <v>578</v>
      </c>
      <c r="B94">
        <v>25.4</v>
      </c>
      <c r="C94" s="30">
        <v>325</v>
      </c>
      <c r="D94" s="30">
        <v>136</v>
      </c>
      <c r="E94" s="28">
        <f t="shared" si="5"/>
        <v>3276000</v>
      </c>
      <c r="F94" s="28">
        <f t="shared" si="6"/>
        <v>1370880</v>
      </c>
      <c r="G94" s="28"/>
      <c r="H94" t="s">
        <v>587</v>
      </c>
      <c r="I94">
        <v>52.3</v>
      </c>
      <c r="J94" s="30">
        <v>0</v>
      </c>
      <c r="K94" s="30">
        <v>16</v>
      </c>
      <c r="L94" s="28">
        <f t="shared" si="7"/>
        <v>0</v>
      </c>
      <c r="M94" s="28">
        <f t="shared" si="8"/>
        <v>367872</v>
      </c>
    </row>
    <row r="95" spans="1:13" x14ac:dyDescent="0.3">
      <c r="A95" t="s">
        <v>588</v>
      </c>
      <c r="B95">
        <v>40.9</v>
      </c>
      <c r="C95" s="30">
        <v>130</v>
      </c>
      <c r="D95" s="30">
        <v>135</v>
      </c>
      <c r="E95" s="28">
        <f t="shared" si="5"/>
        <v>2277600</v>
      </c>
      <c r="F95" s="28">
        <f t="shared" si="6"/>
        <v>2365200</v>
      </c>
      <c r="G95" s="28"/>
      <c r="H95" t="s">
        <v>565</v>
      </c>
      <c r="I95">
        <f t="shared" si="9"/>
        <v>14.8</v>
      </c>
      <c r="J95" s="30">
        <v>0</v>
      </c>
      <c r="K95" s="30">
        <v>16</v>
      </c>
      <c r="L95" s="28">
        <f t="shared" si="7"/>
        <v>0</v>
      </c>
      <c r="M95" s="28">
        <f t="shared" si="8"/>
        <v>79872</v>
      </c>
    </row>
    <row r="96" spans="1:13" x14ac:dyDescent="0.3">
      <c r="A96" t="s">
        <v>589</v>
      </c>
      <c r="B96">
        <v>21.6</v>
      </c>
      <c r="C96" s="30">
        <v>110</v>
      </c>
      <c r="D96" s="30">
        <v>132</v>
      </c>
      <c r="E96" s="28">
        <f t="shared" si="5"/>
        <v>908160.00000000023</v>
      </c>
      <c r="F96" s="28">
        <f t="shared" si="6"/>
        <v>1089792.0000000002</v>
      </c>
      <c r="G96" s="28"/>
      <c r="H96" t="s">
        <v>545</v>
      </c>
      <c r="I96">
        <f t="shared" si="9"/>
        <v>25.7</v>
      </c>
      <c r="J96" s="30">
        <v>0</v>
      </c>
      <c r="K96" s="30">
        <v>16</v>
      </c>
      <c r="L96" s="28">
        <f t="shared" si="7"/>
        <v>0</v>
      </c>
      <c r="M96" s="28">
        <f t="shared" si="8"/>
        <v>163583.99999999997</v>
      </c>
    </row>
    <row r="97" spans="1:13" x14ac:dyDescent="0.3">
      <c r="A97" t="s">
        <v>590</v>
      </c>
      <c r="B97">
        <v>4.4000000000000004</v>
      </c>
      <c r="C97" s="30">
        <v>55</v>
      </c>
      <c r="D97" s="30">
        <v>129</v>
      </c>
      <c r="E97" s="28">
        <f t="shared" si="5"/>
        <v>0</v>
      </c>
      <c r="F97" s="28">
        <f t="shared" si="6"/>
        <v>0</v>
      </c>
      <c r="G97" s="28"/>
      <c r="H97" t="s">
        <v>591</v>
      </c>
      <c r="I97">
        <f t="shared" si="9"/>
        <v>51.5</v>
      </c>
      <c r="J97" s="30">
        <v>10</v>
      </c>
      <c r="K97" s="30">
        <v>12</v>
      </c>
      <c r="L97" s="28">
        <f t="shared" si="7"/>
        <v>226080</v>
      </c>
      <c r="M97" s="28">
        <f t="shared" si="8"/>
        <v>271296</v>
      </c>
    </row>
    <row r="98" spans="1:13" x14ac:dyDescent="0.3">
      <c r="A98" t="s">
        <v>592</v>
      </c>
      <c r="B98">
        <v>42.9</v>
      </c>
      <c r="C98" s="30">
        <v>75</v>
      </c>
      <c r="D98" s="30">
        <v>128</v>
      </c>
      <c r="E98" s="28">
        <f t="shared" si="5"/>
        <v>1386000</v>
      </c>
      <c r="F98" s="28">
        <f t="shared" si="6"/>
        <v>2365440</v>
      </c>
      <c r="G98" s="28"/>
      <c r="H98" t="s">
        <v>593</v>
      </c>
      <c r="I98">
        <f t="shared" si="9"/>
        <v>33.9</v>
      </c>
      <c r="J98" s="30">
        <v>10</v>
      </c>
      <c r="K98" s="30">
        <v>12</v>
      </c>
      <c r="L98" s="28">
        <f t="shared" si="7"/>
        <v>141600</v>
      </c>
      <c r="M98" s="28">
        <f t="shared" si="8"/>
        <v>169920</v>
      </c>
    </row>
    <row r="99" spans="1:13" x14ac:dyDescent="0.3">
      <c r="A99" t="s">
        <v>594</v>
      </c>
      <c r="B99">
        <v>32.700000000000003</v>
      </c>
      <c r="C99" s="30">
        <v>185</v>
      </c>
      <c r="D99" s="30">
        <v>126</v>
      </c>
      <c r="E99" s="28">
        <f t="shared" si="5"/>
        <v>2513040.0000000005</v>
      </c>
      <c r="F99" s="28">
        <f t="shared" si="6"/>
        <v>1711584.0000000002</v>
      </c>
      <c r="G99" s="28"/>
      <c r="H99" t="s">
        <v>595</v>
      </c>
      <c r="I99">
        <v>37</v>
      </c>
      <c r="J99" s="30">
        <v>0</v>
      </c>
      <c r="K99" s="30">
        <v>12</v>
      </c>
      <c r="L99" s="28">
        <f t="shared" si="7"/>
        <v>0</v>
      </c>
      <c r="M99" s="28">
        <f t="shared" si="8"/>
        <v>187776</v>
      </c>
    </row>
    <row r="100" spans="1:13" x14ac:dyDescent="0.3">
      <c r="A100" t="s">
        <v>549</v>
      </c>
      <c r="B100">
        <v>41.2</v>
      </c>
      <c r="C100" s="30">
        <v>70</v>
      </c>
      <c r="D100" s="30">
        <v>124</v>
      </c>
      <c r="E100" s="28">
        <f t="shared" si="5"/>
        <v>1236480.0000000002</v>
      </c>
      <c r="F100" s="28">
        <f t="shared" si="6"/>
        <v>2190336.0000000005</v>
      </c>
      <c r="G100" s="28"/>
      <c r="H100" t="s">
        <v>596</v>
      </c>
      <c r="I100">
        <f t="shared" si="9"/>
        <v>53.9</v>
      </c>
      <c r="J100" s="30">
        <v>0</v>
      </c>
      <c r="K100" s="30">
        <v>12</v>
      </c>
      <c r="L100" s="28">
        <f t="shared" si="7"/>
        <v>0</v>
      </c>
      <c r="M100" s="28">
        <f t="shared" si="8"/>
        <v>285120</v>
      </c>
    </row>
    <row r="101" spans="1:13" x14ac:dyDescent="0.3">
      <c r="A101" t="s">
        <v>597</v>
      </c>
      <c r="B101">
        <v>36</v>
      </c>
      <c r="C101" s="30">
        <v>35</v>
      </c>
      <c r="D101" s="30">
        <v>121</v>
      </c>
      <c r="E101" s="28">
        <f t="shared" si="5"/>
        <v>530880</v>
      </c>
      <c r="F101" s="28">
        <f t="shared" si="6"/>
        <v>1835328</v>
      </c>
      <c r="G101" s="28"/>
      <c r="H101" t="s">
        <v>598</v>
      </c>
      <c r="I101">
        <v>37.5</v>
      </c>
      <c r="J101" s="30">
        <v>0</v>
      </c>
      <c r="K101" s="30">
        <v>12</v>
      </c>
      <c r="L101" s="28">
        <f t="shared" si="7"/>
        <v>0</v>
      </c>
      <c r="M101" s="28">
        <f t="shared" si="8"/>
        <v>190656</v>
      </c>
    </row>
    <row r="102" spans="1:13" x14ac:dyDescent="0.3">
      <c r="A102" t="s">
        <v>599</v>
      </c>
      <c r="B102">
        <v>21</v>
      </c>
      <c r="C102" s="30">
        <v>120</v>
      </c>
      <c r="D102" s="30">
        <v>115</v>
      </c>
      <c r="E102" s="28">
        <f t="shared" si="5"/>
        <v>956160.00000000012</v>
      </c>
      <c r="F102" s="28">
        <f t="shared" si="6"/>
        <v>916320.00000000012</v>
      </c>
      <c r="G102" s="28"/>
      <c r="H102" t="s">
        <v>600</v>
      </c>
      <c r="I102">
        <v>49.9</v>
      </c>
      <c r="J102" s="30">
        <v>0</v>
      </c>
      <c r="K102" s="30">
        <v>12</v>
      </c>
      <c r="L102" s="28">
        <f t="shared" si="7"/>
        <v>0</v>
      </c>
      <c r="M102" s="28">
        <f t="shared" si="8"/>
        <v>262080</v>
      </c>
    </row>
    <row r="103" spans="1:13" x14ac:dyDescent="0.3">
      <c r="A103" t="s">
        <v>601</v>
      </c>
      <c r="B103">
        <v>34.5</v>
      </c>
      <c r="C103" s="30">
        <v>175</v>
      </c>
      <c r="D103" s="30">
        <v>109</v>
      </c>
      <c r="E103" s="28">
        <f t="shared" si="5"/>
        <v>2528400</v>
      </c>
      <c r="F103" s="28">
        <f t="shared" si="6"/>
        <v>1574832</v>
      </c>
      <c r="G103" s="28"/>
      <c r="H103" t="s">
        <v>538</v>
      </c>
      <c r="I103">
        <f t="shared" si="9"/>
        <v>17.899999999999999</v>
      </c>
      <c r="J103" s="30">
        <v>20</v>
      </c>
      <c r="K103" s="30">
        <v>12</v>
      </c>
      <c r="L103" s="28">
        <f t="shared" si="7"/>
        <v>129599.99999999999</v>
      </c>
      <c r="M103" s="28">
        <f t="shared" si="8"/>
        <v>77759.999999999985</v>
      </c>
    </row>
    <row r="104" spans="1:13" x14ac:dyDescent="0.3">
      <c r="A104" t="s">
        <v>602</v>
      </c>
      <c r="B104">
        <v>33</v>
      </c>
      <c r="C104" s="30">
        <v>165</v>
      </c>
      <c r="D104" s="30">
        <v>108</v>
      </c>
      <c r="E104" s="28">
        <f t="shared" si="5"/>
        <v>2265120</v>
      </c>
      <c r="F104" s="28">
        <f t="shared" si="6"/>
        <v>1482624</v>
      </c>
      <c r="G104" s="28"/>
      <c r="H104" t="s">
        <v>603</v>
      </c>
      <c r="I104">
        <v>23.5</v>
      </c>
      <c r="J104" s="30">
        <v>0</v>
      </c>
      <c r="K104" s="30">
        <v>12</v>
      </c>
      <c r="L104" s="28">
        <f t="shared" si="7"/>
        <v>0</v>
      </c>
      <c r="M104" s="28">
        <f t="shared" si="8"/>
        <v>110016</v>
      </c>
    </row>
    <row r="105" spans="1:13" x14ac:dyDescent="0.3">
      <c r="A105" t="s">
        <v>604</v>
      </c>
      <c r="B105">
        <v>29.4</v>
      </c>
      <c r="C105" s="30">
        <v>220</v>
      </c>
      <c r="D105" s="30">
        <v>104</v>
      </c>
      <c r="E105" s="28">
        <f t="shared" si="5"/>
        <v>2640000</v>
      </c>
      <c r="F105" s="28">
        <f t="shared" si="6"/>
        <v>1248000</v>
      </c>
      <c r="G105" s="28"/>
      <c r="H105" t="s">
        <v>605</v>
      </c>
      <c r="I105">
        <f t="shared" si="9"/>
        <v>61.6</v>
      </c>
      <c r="J105" s="30">
        <v>0</v>
      </c>
      <c r="K105" s="30">
        <v>12</v>
      </c>
      <c r="L105" s="28">
        <f t="shared" si="7"/>
        <v>0</v>
      </c>
      <c r="M105" s="28">
        <f t="shared" si="8"/>
        <v>329472</v>
      </c>
    </row>
    <row r="106" spans="1:13" x14ac:dyDescent="0.3">
      <c r="A106" t="s">
        <v>606</v>
      </c>
      <c r="B106">
        <v>40.299999999999997</v>
      </c>
      <c r="C106" s="30">
        <v>35</v>
      </c>
      <c r="D106" s="30">
        <v>104</v>
      </c>
      <c r="E106" s="28">
        <f t="shared" si="5"/>
        <v>603120</v>
      </c>
      <c r="F106" s="28">
        <f t="shared" si="6"/>
        <v>1792128</v>
      </c>
      <c r="G106" s="28"/>
      <c r="H106" t="s">
        <v>607</v>
      </c>
      <c r="I106">
        <f t="shared" si="9"/>
        <v>50.3</v>
      </c>
      <c r="J106" s="30">
        <v>0</v>
      </c>
      <c r="K106" s="30">
        <v>12</v>
      </c>
      <c r="L106" s="28">
        <f t="shared" si="7"/>
        <v>0</v>
      </c>
      <c r="M106" s="28">
        <f t="shared" si="8"/>
        <v>264384</v>
      </c>
    </row>
    <row r="107" spans="1:13" x14ac:dyDescent="0.3">
      <c r="A107" t="s">
        <v>572</v>
      </c>
      <c r="B107">
        <v>37</v>
      </c>
      <c r="C107" s="30">
        <v>115</v>
      </c>
      <c r="D107" s="30">
        <v>98</v>
      </c>
      <c r="E107" s="28">
        <f t="shared" si="5"/>
        <v>1799520</v>
      </c>
      <c r="F107" s="28">
        <f t="shared" si="6"/>
        <v>1533504</v>
      </c>
      <c r="G107" s="28"/>
      <c r="H107" t="s">
        <v>530</v>
      </c>
      <c r="I107">
        <f t="shared" si="9"/>
        <v>27</v>
      </c>
      <c r="J107" s="30">
        <v>40</v>
      </c>
      <c r="K107" s="30">
        <v>12</v>
      </c>
      <c r="L107" s="28">
        <f t="shared" si="7"/>
        <v>433920</v>
      </c>
      <c r="M107" s="28">
        <f t="shared" si="8"/>
        <v>130176</v>
      </c>
    </row>
    <row r="108" spans="1:13" x14ac:dyDescent="0.3">
      <c r="A108" t="s">
        <v>583</v>
      </c>
      <c r="B108">
        <v>31.6</v>
      </c>
      <c r="C108" s="30">
        <v>50</v>
      </c>
      <c r="D108" s="30">
        <v>95</v>
      </c>
      <c r="E108" s="28">
        <f t="shared" si="5"/>
        <v>652800.00000000012</v>
      </c>
      <c r="F108" s="28">
        <f t="shared" si="6"/>
        <v>1240320.0000000002</v>
      </c>
      <c r="G108" s="28"/>
      <c r="H108" t="s">
        <v>507</v>
      </c>
      <c r="I108">
        <f t="shared" si="9"/>
        <v>16.899999999999999</v>
      </c>
      <c r="J108" s="30">
        <v>15</v>
      </c>
      <c r="K108" s="30">
        <v>12</v>
      </c>
      <c r="L108" s="28">
        <f t="shared" si="7"/>
        <v>89999.999999999985</v>
      </c>
      <c r="M108" s="28">
        <f t="shared" si="8"/>
        <v>71999.999999999985</v>
      </c>
    </row>
    <row r="109" spans="1:13" x14ac:dyDescent="0.3">
      <c r="A109" t="s">
        <v>608</v>
      </c>
      <c r="B109">
        <v>72.599999999999994</v>
      </c>
      <c r="C109" s="30">
        <v>40</v>
      </c>
      <c r="D109" s="30">
        <v>95</v>
      </c>
      <c r="E109" s="28">
        <f t="shared" si="5"/>
        <v>1309439.9999999998</v>
      </c>
      <c r="F109" s="28">
        <f t="shared" si="6"/>
        <v>3109919.9999999995</v>
      </c>
      <c r="G109" s="28"/>
      <c r="H109" t="s">
        <v>582</v>
      </c>
      <c r="I109">
        <f t="shared" si="9"/>
        <v>26.6</v>
      </c>
      <c r="J109" s="30">
        <v>40</v>
      </c>
      <c r="K109" s="30">
        <v>11</v>
      </c>
      <c r="L109" s="28">
        <f t="shared" si="7"/>
        <v>426240.00000000006</v>
      </c>
      <c r="M109" s="28">
        <f t="shared" si="8"/>
        <v>117216.00000000001</v>
      </c>
    </row>
    <row r="110" spans="1:13" x14ac:dyDescent="0.3">
      <c r="A110" t="s">
        <v>609</v>
      </c>
      <c r="B110">
        <v>29</v>
      </c>
      <c r="C110" s="30">
        <v>35</v>
      </c>
      <c r="D110" s="30">
        <v>92</v>
      </c>
      <c r="E110" s="28">
        <f t="shared" si="5"/>
        <v>413280</v>
      </c>
      <c r="F110" s="28">
        <f t="shared" si="6"/>
        <v>1086336</v>
      </c>
      <c r="G110" s="28"/>
      <c r="H110" t="s">
        <v>566</v>
      </c>
      <c r="I110">
        <f t="shared" si="9"/>
        <v>35.9</v>
      </c>
      <c r="J110" s="30">
        <v>95</v>
      </c>
      <c r="K110" s="30">
        <v>9</v>
      </c>
      <c r="L110" s="28">
        <f t="shared" si="7"/>
        <v>1436400</v>
      </c>
      <c r="M110" s="28">
        <f t="shared" si="8"/>
        <v>136080</v>
      </c>
    </row>
    <row r="111" spans="1:13" x14ac:dyDescent="0.3">
      <c r="A111" t="s">
        <v>554</v>
      </c>
      <c r="B111">
        <v>37.6</v>
      </c>
      <c r="C111" s="30">
        <v>40</v>
      </c>
      <c r="D111" s="30">
        <v>85</v>
      </c>
      <c r="E111" s="28">
        <f t="shared" si="5"/>
        <v>637440.00000000012</v>
      </c>
      <c r="F111" s="28">
        <f t="shared" si="6"/>
        <v>1354560.0000000002</v>
      </c>
      <c r="G111" s="28"/>
      <c r="H111" t="s">
        <v>610</v>
      </c>
      <c r="I111">
        <f t="shared" si="9"/>
        <v>72.5</v>
      </c>
      <c r="J111" s="30">
        <v>0</v>
      </c>
      <c r="K111" s="30">
        <v>9</v>
      </c>
      <c r="L111" s="28">
        <f t="shared" si="7"/>
        <v>0</v>
      </c>
      <c r="M111" s="28">
        <f t="shared" si="8"/>
        <v>294191.99999999994</v>
      </c>
    </row>
    <row r="112" spans="1:13" x14ac:dyDescent="0.3">
      <c r="A112" t="s">
        <v>559</v>
      </c>
      <c r="B112">
        <v>56.1</v>
      </c>
      <c r="C112" s="30">
        <v>105</v>
      </c>
      <c r="D112" s="30">
        <v>81</v>
      </c>
      <c r="E112" s="28">
        <f t="shared" si="5"/>
        <v>2605680</v>
      </c>
      <c r="F112" s="28">
        <f t="shared" si="6"/>
        <v>2010096</v>
      </c>
      <c r="G112" s="28"/>
      <c r="H112" t="s">
        <v>611</v>
      </c>
      <c r="I112">
        <f t="shared" si="9"/>
        <v>55.9</v>
      </c>
      <c r="J112" s="30">
        <v>20</v>
      </c>
      <c r="K112" s="30">
        <v>9</v>
      </c>
      <c r="L112" s="28">
        <f t="shared" si="7"/>
        <v>494400</v>
      </c>
      <c r="M112" s="28">
        <f t="shared" si="8"/>
        <v>222480</v>
      </c>
    </row>
    <row r="113" spans="1:13" x14ac:dyDescent="0.3">
      <c r="A113" t="s">
        <v>612</v>
      </c>
      <c r="B113">
        <v>34.9</v>
      </c>
      <c r="C113" s="30">
        <v>200</v>
      </c>
      <c r="D113" s="30">
        <v>77</v>
      </c>
      <c r="E113" s="28">
        <f t="shared" si="5"/>
        <v>2928000</v>
      </c>
      <c r="F113" s="28">
        <f t="shared" si="6"/>
        <v>1127280</v>
      </c>
      <c r="G113" s="28"/>
      <c r="H113" t="s">
        <v>594</v>
      </c>
      <c r="I113">
        <f t="shared" si="9"/>
        <v>32.700000000000003</v>
      </c>
      <c r="J113" s="30">
        <v>0</v>
      </c>
      <c r="K113" s="30">
        <v>5</v>
      </c>
      <c r="L113" s="28">
        <f t="shared" si="7"/>
        <v>0</v>
      </c>
      <c r="M113" s="28">
        <f t="shared" si="8"/>
        <v>67920.000000000015</v>
      </c>
    </row>
    <row r="114" spans="1:13" x14ac:dyDescent="0.3">
      <c r="A114" t="s">
        <v>613</v>
      </c>
      <c r="B114">
        <v>29.9</v>
      </c>
      <c r="C114" s="30">
        <v>70</v>
      </c>
      <c r="D114" s="30">
        <v>76</v>
      </c>
      <c r="E114" s="28">
        <f t="shared" si="5"/>
        <v>856800</v>
      </c>
      <c r="F114" s="28">
        <f t="shared" si="6"/>
        <v>930240</v>
      </c>
      <c r="G114" s="28"/>
      <c r="H114" t="s">
        <v>614</v>
      </c>
      <c r="I114">
        <f t="shared" si="9"/>
        <v>38.6</v>
      </c>
      <c r="J114" s="30">
        <v>0</v>
      </c>
      <c r="K114" s="30">
        <v>5</v>
      </c>
      <c r="L114" s="28">
        <f t="shared" si="7"/>
        <v>0</v>
      </c>
      <c r="M114" s="28">
        <f t="shared" si="8"/>
        <v>82080</v>
      </c>
    </row>
    <row r="115" spans="1:13" x14ac:dyDescent="0.3">
      <c r="A115" t="s">
        <v>615</v>
      </c>
      <c r="B115">
        <v>35.299999999999997</v>
      </c>
      <c r="C115" s="30">
        <v>40</v>
      </c>
      <c r="D115" s="30">
        <v>75</v>
      </c>
      <c r="E115" s="28">
        <f t="shared" si="5"/>
        <v>593280</v>
      </c>
      <c r="F115" s="28">
        <f t="shared" si="6"/>
        <v>1112400</v>
      </c>
      <c r="G115" s="28"/>
      <c r="H115" t="s">
        <v>616</v>
      </c>
      <c r="I115">
        <f t="shared" si="9"/>
        <v>43.9</v>
      </c>
      <c r="J115" s="30">
        <v>25</v>
      </c>
      <c r="K115" s="30">
        <v>5</v>
      </c>
      <c r="L115" s="28">
        <f t="shared" si="7"/>
        <v>474000</v>
      </c>
      <c r="M115" s="28">
        <f t="shared" si="8"/>
        <v>94800</v>
      </c>
    </row>
    <row r="116" spans="1:13" x14ac:dyDescent="0.3">
      <c r="A116" t="s">
        <v>593</v>
      </c>
      <c r="B116">
        <v>33.9</v>
      </c>
      <c r="C116" s="30">
        <v>90</v>
      </c>
      <c r="D116" s="30">
        <v>74</v>
      </c>
      <c r="E116" s="28">
        <f t="shared" si="5"/>
        <v>1274400</v>
      </c>
      <c r="F116" s="28">
        <f t="shared" si="6"/>
        <v>1047840</v>
      </c>
      <c r="G116" s="28"/>
      <c r="H116" t="s">
        <v>602</v>
      </c>
      <c r="I116">
        <f t="shared" si="9"/>
        <v>33</v>
      </c>
      <c r="J116" s="30">
        <v>15</v>
      </c>
      <c r="K116" s="30">
        <v>5</v>
      </c>
      <c r="L116" s="28">
        <f t="shared" si="7"/>
        <v>205920</v>
      </c>
      <c r="M116" s="28">
        <f t="shared" si="8"/>
        <v>68640</v>
      </c>
    </row>
    <row r="117" spans="1:13" x14ac:dyDescent="0.3">
      <c r="A117" t="s">
        <v>617</v>
      </c>
      <c r="B117">
        <v>37</v>
      </c>
      <c r="C117" s="30">
        <v>55</v>
      </c>
      <c r="D117" s="30">
        <v>68</v>
      </c>
      <c r="E117" s="28">
        <f t="shared" si="5"/>
        <v>860640</v>
      </c>
      <c r="F117" s="28">
        <f t="shared" si="6"/>
        <v>1064064</v>
      </c>
      <c r="G117" s="28"/>
      <c r="H117" t="s">
        <v>606</v>
      </c>
      <c r="I117">
        <f t="shared" si="9"/>
        <v>40.299999999999997</v>
      </c>
      <c r="J117" s="30">
        <v>10</v>
      </c>
      <c r="K117" s="30">
        <v>5</v>
      </c>
      <c r="L117" s="28">
        <f t="shared" si="7"/>
        <v>172320</v>
      </c>
      <c r="M117" s="28">
        <f t="shared" si="8"/>
        <v>86160</v>
      </c>
    </row>
    <row r="118" spans="1:13" x14ac:dyDescent="0.3">
      <c r="A118" t="s">
        <v>618</v>
      </c>
      <c r="B118">
        <v>60.8</v>
      </c>
      <c r="C118" s="30">
        <v>80</v>
      </c>
      <c r="D118" s="30">
        <v>67</v>
      </c>
      <c r="E118" s="28">
        <f t="shared" si="5"/>
        <v>2165760</v>
      </c>
      <c r="F118" s="28">
        <f t="shared" si="6"/>
        <v>1813824</v>
      </c>
      <c r="G118" s="28"/>
      <c r="H118" t="s">
        <v>618</v>
      </c>
      <c r="I118">
        <f t="shared" si="9"/>
        <v>60.8</v>
      </c>
      <c r="J118" s="30">
        <v>0</v>
      </c>
      <c r="K118" s="30">
        <v>5</v>
      </c>
      <c r="L118" s="28">
        <f t="shared" si="7"/>
        <v>0</v>
      </c>
      <c r="M118" s="28">
        <f t="shared" si="8"/>
        <v>135360</v>
      </c>
    </row>
    <row r="119" spans="1:13" x14ac:dyDescent="0.3">
      <c r="A119" t="s">
        <v>619</v>
      </c>
      <c r="B119">
        <v>51</v>
      </c>
      <c r="C119" s="30">
        <v>25</v>
      </c>
      <c r="D119" s="30">
        <v>67</v>
      </c>
      <c r="E119" s="28">
        <f t="shared" si="5"/>
        <v>559200</v>
      </c>
      <c r="F119" s="28">
        <f t="shared" si="6"/>
        <v>1498656</v>
      </c>
      <c r="G119" s="28"/>
      <c r="H119" t="s">
        <v>620</v>
      </c>
      <c r="I119">
        <v>72.599999999999994</v>
      </c>
      <c r="J119" s="30">
        <v>0</v>
      </c>
      <c r="K119" s="30">
        <v>5</v>
      </c>
      <c r="L119" s="28">
        <f t="shared" si="7"/>
        <v>0</v>
      </c>
      <c r="M119" s="28">
        <f t="shared" si="8"/>
        <v>163679.99999999997</v>
      </c>
    </row>
    <row r="120" spans="1:13" x14ac:dyDescent="0.3">
      <c r="A120" t="s">
        <v>560</v>
      </c>
      <c r="B120">
        <v>38.4</v>
      </c>
      <c r="C120" s="30">
        <v>90</v>
      </c>
      <c r="D120" s="30">
        <v>65</v>
      </c>
      <c r="E120" s="28">
        <f t="shared" si="5"/>
        <v>1468800</v>
      </c>
      <c r="F120" s="28">
        <f t="shared" si="6"/>
        <v>1060800</v>
      </c>
      <c r="G120" s="28"/>
      <c r="H120"/>
      <c r="I120"/>
      <c r="J120"/>
      <c r="K120"/>
      <c r="L120"/>
      <c r="M120"/>
    </row>
    <row r="121" spans="1:13" x14ac:dyDescent="0.3">
      <c r="A121" t="s">
        <v>621</v>
      </c>
      <c r="B121">
        <v>35</v>
      </c>
      <c r="C121" s="30">
        <v>100</v>
      </c>
      <c r="D121" s="30">
        <v>61</v>
      </c>
      <c r="E121" s="28">
        <f t="shared" si="5"/>
        <v>1468800</v>
      </c>
      <c r="F121" s="28">
        <f t="shared" si="6"/>
        <v>895968</v>
      </c>
      <c r="G121" s="28"/>
      <c r="H121"/>
      <c r="I121"/>
      <c r="J121"/>
      <c r="K121"/>
      <c r="L121"/>
      <c r="M121"/>
    </row>
    <row r="122" spans="1:13" x14ac:dyDescent="0.3">
      <c r="A122" t="s">
        <v>622</v>
      </c>
      <c r="B122">
        <v>42.1</v>
      </c>
      <c r="C122" s="30">
        <v>75</v>
      </c>
      <c r="D122" s="30">
        <v>61</v>
      </c>
      <c r="E122" s="28">
        <f t="shared" si="5"/>
        <v>1357200</v>
      </c>
      <c r="F122" s="28">
        <f t="shared" si="6"/>
        <v>1103856</v>
      </c>
      <c r="G122" s="28"/>
      <c r="H122"/>
      <c r="I122"/>
      <c r="J122"/>
      <c r="K122"/>
      <c r="L122"/>
      <c r="M122"/>
    </row>
    <row r="123" spans="1:13" x14ac:dyDescent="0.3">
      <c r="A123" t="s">
        <v>531</v>
      </c>
      <c r="B123">
        <v>27.9</v>
      </c>
      <c r="C123" s="30">
        <v>115</v>
      </c>
      <c r="D123" s="30">
        <v>59</v>
      </c>
      <c r="E123" s="28">
        <f t="shared" si="5"/>
        <v>1297200</v>
      </c>
      <c r="F123" s="28">
        <f t="shared" si="6"/>
        <v>665520</v>
      </c>
      <c r="G123" s="28"/>
      <c r="H123"/>
      <c r="I123"/>
      <c r="J123"/>
      <c r="K123"/>
      <c r="L123"/>
      <c r="M123"/>
    </row>
    <row r="124" spans="1:13" x14ac:dyDescent="0.3">
      <c r="A124" t="s">
        <v>623</v>
      </c>
      <c r="B124">
        <v>53.2</v>
      </c>
      <c r="C124" s="30">
        <v>15</v>
      </c>
      <c r="D124" s="30">
        <v>53</v>
      </c>
      <c r="E124" s="28">
        <f t="shared" si="5"/>
        <v>351360.00000000006</v>
      </c>
      <c r="F124" s="28">
        <f t="shared" si="6"/>
        <v>1241472.0000000002</v>
      </c>
      <c r="G124" s="28"/>
      <c r="H124"/>
      <c r="I124"/>
      <c r="J124"/>
      <c r="K124"/>
      <c r="L124"/>
      <c r="M124"/>
    </row>
    <row r="125" spans="1:13" x14ac:dyDescent="0.3">
      <c r="A125" t="s">
        <v>581</v>
      </c>
      <c r="B125">
        <v>27.9</v>
      </c>
      <c r="C125" s="30">
        <v>35</v>
      </c>
      <c r="D125" s="30">
        <v>52</v>
      </c>
      <c r="E125" s="28">
        <f t="shared" si="5"/>
        <v>394800</v>
      </c>
      <c r="F125" s="28">
        <f t="shared" si="6"/>
        <v>586560</v>
      </c>
      <c r="G125" s="28"/>
      <c r="H125"/>
      <c r="I125"/>
      <c r="J125"/>
      <c r="K125"/>
      <c r="L125"/>
      <c r="M125"/>
    </row>
    <row r="126" spans="1:13" x14ac:dyDescent="0.3">
      <c r="A126" t="s">
        <v>556</v>
      </c>
      <c r="B126">
        <v>46.1</v>
      </c>
      <c r="C126" s="30">
        <v>20</v>
      </c>
      <c r="D126" s="30">
        <v>52</v>
      </c>
      <c r="E126" s="28">
        <f t="shared" si="5"/>
        <v>400320</v>
      </c>
      <c r="F126" s="28">
        <f t="shared" si="6"/>
        <v>1040832</v>
      </c>
      <c r="G126" s="28"/>
      <c r="H126"/>
      <c r="I126"/>
      <c r="J126"/>
      <c r="K126"/>
      <c r="L126"/>
      <c r="M126"/>
    </row>
    <row r="127" spans="1:13" x14ac:dyDescent="0.3">
      <c r="A127" t="s">
        <v>624</v>
      </c>
      <c r="B127">
        <v>49.8</v>
      </c>
      <c r="C127" s="30">
        <v>20</v>
      </c>
      <c r="D127" s="30">
        <v>46</v>
      </c>
      <c r="E127" s="28">
        <f t="shared" si="5"/>
        <v>435840</v>
      </c>
      <c r="F127" s="28">
        <f t="shared" si="6"/>
        <v>1002432</v>
      </c>
      <c r="G127" s="28"/>
      <c r="H127"/>
      <c r="I127"/>
      <c r="J127"/>
      <c r="K127"/>
      <c r="L127"/>
      <c r="M127"/>
    </row>
    <row r="128" spans="1:13" x14ac:dyDescent="0.3">
      <c r="A128" t="s">
        <v>625</v>
      </c>
      <c r="B128">
        <v>40.6</v>
      </c>
      <c r="C128" s="30">
        <v>0</v>
      </c>
      <c r="D128" s="30">
        <v>46</v>
      </c>
      <c r="E128" s="28">
        <f t="shared" si="5"/>
        <v>0</v>
      </c>
      <c r="F128" s="28">
        <f t="shared" si="6"/>
        <v>799296</v>
      </c>
      <c r="G128" s="28"/>
      <c r="H128"/>
      <c r="I128"/>
      <c r="J128"/>
      <c r="K128"/>
      <c r="L128"/>
      <c r="M128"/>
    </row>
    <row r="129" spans="1:13" x14ac:dyDescent="0.3">
      <c r="A129" t="s">
        <v>596</v>
      </c>
      <c r="B129">
        <v>53.9</v>
      </c>
      <c r="C129" s="30">
        <v>130</v>
      </c>
      <c r="D129" s="30">
        <v>45</v>
      </c>
      <c r="E129" s="28">
        <f t="shared" si="5"/>
        <v>3088800</v>
      </c>
      <c r="F129" s="28">
        <f t="shared" si="6"/>
        <v>1069200</v>
      </c>
      <c r="G129" s="28"/>
      <c r="H129"/>
      <c r="I129"/>
      <c r="J129"/>
      <c r="K129"/>
      <c r="L129"/>
      <c r="M129"/>
    </row>
    <row r="130" spans="1:13" x14ac:dyDescent="0.3">
      <c r="A130" t="s">
        <v>626</v>
      </c>
      <c r="B130">
        <v>42.5</v>
      </c>
      <c r="C130" s="30">
        <v>40</v>
      </c>
      <c r="D130" s="30">
        <v>45</v>
      </c>
      <c r="E130" s="28">
        <f t="shared" si="5"/>
        <v>731520</v>
      </c>
      <c r="F130" s="28">
        <f t="shared" si="6"/>
        <v>822960</v>
      </c>
      <c r="G130" s="28"/>
      <c r="H130"/>
      <c r="I130"/>
      <c r="J130"/>
      <c r="K130"/>
      <c r="L130"/>
      <c r="M130"/>
    </row>
    <row r="131" spans="1:13" x14ac:dyDescent="0.3">
      <c r="A131" t="s">
        <v>627</v>
      </c>
      <c r="B131">
        <v>31.6</v>
      </c>
      <c r="C131" s="30">
        <v>55</v>
      </c>
      <c r="D131" s="30">
        <v>45</v>
      </c>
      <c r="E131" s="28">
        <f t="shared" si="5"/>
        <v>718080.00000000012</v>
      </c>
      <c r="F131" s="28">
        <f t="shared" si="6"/>
        <v>587520.00000000012</v>
      </c>
      <c r="G131" s="28"/>
      <c r="H131"/>
      <c r="I131"/>
      <c r="J131"/>
      <c r="K131"/>
      <c r="L131"/>
      <c r="M131"/>
    </row>
    <row r="132" spans="1:13" x14ac:dyDescent="0.3">
      <c r="A132" t="s">
        <v>628</v>
      </c>
      <c r="B132">
        <v>40.200000000000003</v>
      </c>
      <c r="C132" s="30">
        <v>35</v>
      </c>
      <c r="D132" s="30">
        <v>45</v>
      </c>
      <c r="E132" s="28">
        <f t="shared" si="5"/>
        <v>601440.00000000012</v>
      </c>
      <c r="F132" s="28">
        <f t="shared" si="6"/>
        <v>773280.00000000012</v>
      </c>
      <c r="G132" s="28"/>
      <c r="H132"/>
      <c r="I132"/>
      <c r="J132"/>
      <c r="K132"/>
      <c r="L132"/>
      <c r="M132"/>
    </row>
    <row r="133" spans="1:13" x14ac:dyDescent="0.3">
      <c r="A133" t="s">
        <v>629</v>
      </c>
      <c r="B133">
        <v>44.3</v>
      </c>
      <c r="C133" s="30">
        <v>105</v>
      </c>
      <c r="D133" s="30">
        <v>43</v>
      </c>
      <c r="E133" s="28">
        <f t="shared" si="5"/>
        <v>2010960</v>
      </c>
      <c r="F133" s="28">
        <f t="shared" si="6"/>
        <v>823536</v>
      </c>
      <c r="G133" s="28"/>
      <c r="H133"/>
      <c r="I133"/>
      <c r="J133"/>
      <c r="K133"/>
      <c r="L133"/>
      <c r="M133"/>
    </row>
    <row r="134" spans="1:13" x14ac:dyDescent="0.3">
      <c r="A134" t="s">
        <v>630</v>
      </c>
      <c r="B134">
        <v>36.299999999999997</v>
      </c>
      <c r="C134" s="30">
        <v>55</v>
      </c>
      <c r="D134" s="30">
        <v>41</v>
      </c>
      <c r="E134" s="28">
        <f t="shared" si="5"/>
        <v>842160</v>
      </c>
      <c r="F134" s="28">
        <f t="shared" si="6"/>
        <v>627792</v>
      </c>
      <c r="G134" s="28"/>
      <c r="H134"/>
      <c r="I134"/>
      <c r="J134"/>
      <c r="K134"/>
      <c r="L134"/>
      <c r="M134"/>
    </row>
    <row r="135" spans="1:13" x14ac:dyDescent="0.3">
      <c r="A135" t="s">
        <v>607</v>
      </c>
      <c r="B135">
        <v>50.3</v>
      </c>
      <c r="C135" s="30">
        <v>55</v>
      </c>
      <c r="D135" s="30">
        <v>41</v>
      </c>
      <c r="E135" s="28">
        <f t="shared" si="5"/>
        <v>1211760</v>
      </c>
      <c r="F135" s="28">
        <f t="shared" si="6"/>
        <v>903312</v>
      </c>
      <c r="G135" s="28"/>
      <c r="H135"/>
      <c r="I135"/>
      <c r="J135"/>
      <c r="K135"/>
      <c r="L135"/>
      <c r="M135"/>
    </row>
    <row r="136" spans="1:13" x14ac:dyDescent="0.3">
      <c r="A136" t="s">
        <v>631</v>
      </c>
      <c r="B136">
        <v>39</v>
      </c>
      <c r="C136" s="30">
        <v>20</v>
      </c>
      <c r="D136" s="30">
        <v>41</v>
      </c>
      <c r="E136" s="28">
        <f t="shared" si="5"/>
        <v>332160</v>
      </c>
      <c r="F136" s="28">
        <f t="shared" si="6"/>
        <v>680928</v>
      </c>
      <c r="G136" s="28"/>
      <c r="H136"/>
      <c r="I136"/>
      <c r="J136"/>
      <c r="K136"/>
      <c r="L136"/>
      <c r="M136"/>
    </row>
    <row r="137" spans="1:13" x14ac:dyDescent="0.3">
      <c r="A137" t="s">
        <v>632</v>
      </c>
      <c r="B137">
        <v>87.8</v>
      </c>
      <c r="C137" s="30">
        <v>0</v>
      </c>
      <c r="D137" s="30">
        <v>37</v>
      </c>
      <c r="E137" s="28">
        <f t="shared" si="5"/>
        <v>0</v>
      </c>
      <c r="F137" s="28">
        <f t="shared" si="6"/>
        <v>1481183.9999999998</v>
      </c>
      <c r="G137" s="28"/>
      <c r="H137"/>
      <c r="I137"/>
      <c r="J137"/>
      <c r="K137"/>
      <c r="L137"/>
      <c r="M137"/>
    </row>
    <row r="138" spans="1:13" x14ac:dyDescent="0.3">
      <c r="A138" t="s">
        <v>633</v>
      </c>
      <c r="B138">
        <v>44.4</v>
      </c>
      <c r="C138" s="30">
        <v>15</v>
      </c>
      <c r="D138" s="30">
        <v>36</v>
      </c>
      <c r="E138" s="28">
        <f t="shared" si="5"/>
        <v>288000</v>
      </c>
      <c r="F138" s="28">
        <f t="shared" si="6"/>
        <v>691200</v>
      </c>
      <c r="G138" s="28"/>
      <c r="H138"/>
      <c r="I138"/>
      <c r="J138"/>
      <c r="K138"/>
      <c r="L138"/>
      <c r="M138"/>
    </row>
    <row r="139" spans="1:13" x14ac:dyDescent="0.3">
      <c r="A139" t="s">
        <v>634</v>
      </c>
      <c r="B139">
        <v>44.1</v>
      </c>
      <c r="C139" s="30">
        <v>15</v>
      </c>
      <c r="D139" s="30">
        <v>33</v>
      </c>
      <c r="E139" s="28">
        <f t="shared" si="5"/>
        <v>285840</v>
      </c>
      <c r="F139" s="28">
        <f t="shared" si="6"/>
        <v>628848</v>
      </c>
      <c r="G139" s="28"/>
      <c r="H139"/>
      <c r="I139"/>
      <c r="J139"/>
      <c r="K139"/>
      <c r="L139"/>
      <c r="M139"/>
    </row>
    <row r="140" spans="1:13" x14ac:dyDescent="0.3">
      <c r="A140" t="s">
        <v>635</v>
      </c>
      <c r="B140">
        <v>42.1</v>
      </c>
      <c r="C140" s="30">
        <v>20</v>
      </c>
      <c r="D140" s="30">
        <v>33</v>
      </c>
      <c r="E140" s="28">
        <f t="shared" si="5"/>
        <v>361920</v>
      </c>
      <c r="F140" s="28">
        <f t="shared" si="6"/>
        <v>597168</v>
      </c>
      <c r="G140" s="28"/>
      <c r="H140"/>
      <c r="I140"/>
      <c r="J140"/>
      <c r="K140"/>
      <c r="L140"/>
      <c r="M140"/>
    </row>
    <row r="141" spans="1:13" x14ac:dyDescent="0.3">
      <c r="A141" t="s">
        <v>636</v>
      </c>
      <c r="B141">
        <v>33.1</v>
      </c>
      <c r="C141" s="30">
        <v>65</v>
      </c>
      <c r="D141" s="30">
        <v>33</v>
      </c>
      <c r="E141" s="28">
        <f t="shared" si="5"/>
        <v>895440.00000000012</v>
      </c>
      <c r="F141" s="28">
        <f t="shared" si="6"/>
        <v>454608.00000000006</v>
      </c>
      <c r="G141" s="28"/>
      <c r="H141"/>
      <c r="I141"/>
      <c r="J141"/>
      <c r="K141"/>
      <c r="L141"/>
      <c r="M141"/>
    </row>
    <row r="142" spans="1:13" x14ac:dyDescent="0.3">
      <c r="A142" t="s">
        <v>611</v>
      </c>
      <c r="B142">
        <v>55.9</v>
      </c>
      <c r="C142" s="30">
        <v>105</v>
      </c>
      <c r="D142" s="30">
        <v>33</v>
      </c>
      <c r="E142" s="28">
        <f t="shared" si="5"/>
        <v>2595600</v>
      </c>
      <c r="F142" s="28">
        <f t="shared" si="6"/>
        <v>815760</v>
      </c>
      <c r="G142" s="28"/>
      <c r="H142"/>
      <c r="I142"/>
      <c r="J142"/>
      <c r="K142"/>
      <c r="L142"/>
      <c r="M142"/>
    </row>
    <row r="143" spans="1:13" x14ac:dyDescent="0.3">
      <c r="A143" t="s">
        <v>546</v>
      </c>
      <c r="B143">
        <v>52.4</v>
      </c>
      <c r="C143" s="30">
        <v>180</v>
      </c>
      <c r="D143" s="30">
        <v>33</v>
      </c>
      <c r="E143" s="28">
        <f t="shared" si="5"/>
        <v>4147200</v>
      </c>
      <c r="F143" s="28">
        <f t="shared" si="6"/>
        <v>760320</v>
      </c>
      <c r="G143" s="28"/>
      <c r="H143"/>
      <c r="I143"/>
      <c r="J143"/>
      <c r="K143"/>
      <c r="L143"/>
      <c r="M143"/>
    </row>
    <row r="144" spans="1:13" x14ac:dyDescent="0.3">
      <c r="A144" t="s">
        <v>637</v>
      </c>
      <c r="B144">
        <v>37.700000000000003</v>
      </c>
      <c r="C144" s="30">
        <v>100</v>
      </c>
      <c r="D144" s="30">
        <v>32</v>
      </c>
      <c r="E144" s="28">
        <f t="shared" si="5"/>
        <v>1598400.0000000002</v>
      </c>
      <c r="F144" s="28">
        <f t="shared" si="6"/>
        <v>511488.00000000006</v>
      </c>
      <c r="G144" s="28"/>
      <c r="H144"/>
      <c r="I144"/>
      <c r="J144"/>
      <c r="K144"/>
      <c r="L144"/>
      <c r="M144"/>
    </row>
    <row r="145" spans="1:13" x14ac:dyDescent="0.3">
      <c r="A145" t="s">
        <v>638</v>
      </c>
      <c r="B145">
        <v>27.8</v>
      </c>
      <c r="C145" s="30">
        <v>15</v>
      </c>
      <c r="D145" s="30">
        <v>31</v>
      </c>
      <c r="E145" s="28">
        <f t="shared" si="5"/>
        <v>168480</v>
      </c>
      <c r="F145" s="28">
        <f t="shared" si="6"/>
        <v>348192</v>
      </c>
      <c r="G145" s="28"/>
      <c r="H145"/>
      <c r="I145"/>
      <c r="J145"/>
      <c r="K145"/>
      <c r="L145"/>
      <c r="M145"/>
    </row>
    <row r="146" spans="1:13" x14ac:dyDescent="0.3">
      <c r="A146" t="s">
        <v>639</v>
      </c>
      <c r="B146">
        <v>34.200000000000003</v>
      </c>
      <c r="C146" s="30">
        <v>45</v>
      </c>
      <c r="D146" s="30">
        <v>29</v>
      </c>
      <c r="E146" s="28">
        <f t="shared" si="5"/>
        <v>643680.00000000012</v>
      </c>
      <c r="F146" s="28">
        <f t="shared" si="6"/>
        <v>414816.00000000006</v>
      </c>
      <c r="G146" s="28"/>
      <c r="H146"/>
      <c r="I146"/>
      <c r="J146"/>
      <c r="K146"/>
      <c r="L146"/>
      <c r="M146"/>
    </row>
    <row r="147" spans="1:13" x14ac:dyDescent="0.3">
      <c r="A147" t="s">
        <v>640</v>
      </c>
      <c r="B147">
        <v>35.700000000000003</v>
      </c>
      <c r="C147" s="30">
        <v>10</v>
      </c>
      <c r="D147" s="30">
        <v>28</v>
      </c>
      <c r="E147" s="28">
        <f t="shared" si="5"/>
        <v>150240.00000000003</v>
      </c>
      <c r="F147" s="28">
        <f t="shared" si="6"/>
        <v>420672.00000000006</v>
      </c>
      <c r="G147" s="28"/>
      <c r="H147"/>
      <c r="I147"/>
      <c r="J147"/>
      <c r="K147"/>
      <c r="L147"/>
      <c r="M147"/>
    </row>
    <row r="148" spans="1:13" x14ac:dyDescent="0.3">
      <c r="A148" t="s">
        <v>641</v>
      </c>
      <c r="B148">
        <v>34.9</v>
      </c>
      <c r="C148" s="30">
        <v>10</v>
      </c>
      <c r="D148" s="30">
        <v>28</v>
      </c>
      <c r="E148" s="28">
        <f t="shared" si="5"/>
        <v>146400</v>
      </c>
      <c r="F148" s="28">
        <f t="shared" si="6"/>
        <v>409920</v>
      </c>
      <c r="G148" s="28"/>
      <c r="H148"/>
      <c r="I148"/>
      <c r="J148"/>
      <c r="K148"/>
      <c r="L148"/>
      <c r="M148"/>
    </row>
    <row r="149" spans="1:13" x14ac:dyDescent="0.3">
      <c r="A149" t="s">
        <v>580</v>
      </c>
      <c r="B149">
        <v>38.700000000000003</v>
      </c>
      <c r="C149" s="30">
        <v>30</v>
      </c>
      <c r="D149" s="30">
        <v>28</v>
      </c>
      <c r="E149" s="28">
        <f t="shared" si="5"/>
        <v>493920.00000000012</v>
      </c>
      <c r="F149" s="28">
        <f t="shared" si="6"/>
        <v>460992.00000000012</v>
      </c>
      <c r="G149" s="28"/>
      <c r="H149"/>
      <c r="I149"/>
      <c r="J149"/>
      <c r="K149"/>
      <c r="L149"/>
      <c r="M149"/>
    </row>
    <row r="150" spans="1:13" x14ac:dyDescent="0.3">
      <c r="A150" t="s">
        <v>561</v>
      </c>
      <c r="B150">
        <v>59.5</v>
      </c>
      <c r="C150" s="30">
        <v>45</v>
      </c>
      <c r="D150" s="30">
        <v>28</v>
      </c>
      <c r="E150" s="28">
        <f t="shared" si="5"/>
        <v>1190160</v>
      </c>
      <c r="F150" s="28">
        <f t="shared" si="6"/>
        <v>740544</v>
      </c>
      <c r="G150" s="28"/>
      <c r="H150"/>
      <c r="I150"/>
      <c r="J150"/>
      <c r="K150"/>
      <c r="L150"/>
      <c r="M150"/>
    </row>
    <row r="151" spans="1:13" x14ac:dyDescent="0.3">
      <c r="A151" t="s">
        <v>591</v>
      </c>
      <c r="B151">
        <v>51.5</v>
      </c>
      <c r="C151" s="30">
        <v>10</v>
      </c>
      <c r="D151" s="30">
        <v>27</v>
      </c>
      <c r="E151" s="28">
        <f t="shared" si="5"/>
        <v>226080</v>
      </c>
      <c r="F151" s="28">
        <f t="shared" si="6"/>
        <v>610416</v>
      </c>
      <c r="G151" s="28"/>
      <c r="H151"/>
      <c r="I151"/>
      <c r="J151"/>
      <c r="K151"/>
      <c r="L151"/>
      <c r="M151"/>
    </row>
    <row r="152" spans="1:13" x14ac:dyDescent="0.3">
      <c r="A152" t="s">
        <v>642</v>
      </c>
      <c r="B152">
        <v>86.2</v>
      </c>
      <c r="C152" s="30">
        <v>45</v>
      </c>
      <c r="D152" s="30">
        <v>26</v>
      </c>
      <c r="E152" s="28">
        <f t="shared" ref="E152:E187" si="10">IF($B152&gt;$A$17,$B152-$A$17,0)*$A$16*C152</f>
        <v>1766880</v>
      </c>
      <c r="F152" s="28">
        <f t="shared" ref="F152:F187" si="11">IF($B152&gt;$A$17,$B152-$A$17,0)*$A$16*D152</f>
        <v>1020864</v>
      </c>
      <c r="G152" s="28"/>
      <c r="H152"/>
      <c r="I152"/>
      <c r="J152"/>
      <c r="K152"/>
      <c r="L152"/>
      <c r="M152"/>
    </row>
    <row r="153" spans="1:13" x14ac:dyDescent="0.3">
      <c r="A153" t="s">
        <v>643</v>
      </c>
      <c r="B153">
        <v>56.3</v>
      </c>
      <c r="C153" s="30">
        <v>35</v>
      </c>
      <c r="D153" s="30">
        <v>25</v>
      </c>
      <c r="E153" s="28">
        <f t="shared" si="10"/>
        <v>871920</v>
      </c>
      <c r="F153" s="28">
        <f t="shared" si="11"/>
        <v>622800</v>
      </c>
      <c r="G153" s="28"/>
      <c r="H153"/>
      <c r="I153"/>
      <c r="J153"/>
      <c r="K153"/>
      <c r="L153"/>
      <c r="M153"/>
    </row>
    <row r="154" spans="1:13" x14ac:dyDescent="0.3">
      <c r="A154" t="s">
        <v>644</v>
      </c>
      <c r="B154">
        <v>43.8</v>
      </c>
      <c r="C154" s="30">
        <v>0</v>
      </c>
      <c r="D154" s="30">
        <v>24</v>
      </c>
      <c r="E154" s="28">
        <f t="shared" si="10"/>
        <v>0</v>
      </c>
      <c r="F154" s="28">
        <f t="shared" si="11"/>
        <v>453888</v>
      </c>
      <c r="G154" s="28"/>
      <c r="H154"/>
      <c r="I154"/>
      <c r="J154"/>
      <c r="K154"/>
      <c r="L154"/>
      <c r="M154"/>
    </row>
    <row r="155" spans="1:13" x14ac:dyDescent="0.3">
      <c r="A155" t="s">
        <v>574</v>
      </c>
      <c r="B155">
        <v>37.799999999999997</v>
      </c>
      <c r="C155" s="30">
        <v>25</v>
      </c>
      <c r="D155" s="30">
        <v>24</v>
      </c>
      <c r="E155" s="28">
        <f t="shared" si="10"/>
        <v>400800</v>
      </c>
      <c r="F155" s="28">
        <f t="shared" si="11"/>
        <v>384768</v>
      </c>
      <c r="G155" s="28"/>
      <c r="H155"/>
      <c r="I155"/>
      <c r="J155"/>
      <c r="K155"/>
      <c r="L155"/>
      <c r="M155"/>
    </row>
    <row r="156" spans="1:13" x14ac:dyDescent="0.3">
      <c r="A156" t="s">
        <v>645</v>
      </c>
      <c r="B156">
        <v>38</v>
      </c>
      <c r="C156" s="30">
        <v>25</v>
      </c>
      <c r="D156" s="30">
        <v>23</v>
      </c>
      <c r="E156" s="28">
        <f t="shared" si="10"/>
        <v>403200</v>
      </c>
      <c r="F156" s="28">
        <f t="shared" si="11"/>
        <v>370944</v>
      </c>
      <c r="G156" s="28"/>
      <c r="H156"/>
      <c r="I156"/>
      <c r="J156"/>
      <c r="K156"/>
      <c r="L156"/>
      <c r="M156"/>
    </row>
    <row r="157" spans="1:13" x14ac:dyDescent="0.3">
      <c r="A157" t="s">
        <v>646</v>
      </c>
      <c r="B157">
        <v>50.1</v>
      </c>
      <c r="C157" s="30">
        <v>45</v>
      </c>
      <c r="D157" s="30">
        <v>21</v>
      </c>
      <c r="E157" s="28">
        <f t="shared" si="10"/>
        <v>987120</v>
      </c>
      <c r="F157" s="28">
        <f t="shared" si="11"/>
        <v>460656</v>
      </c>
      <c r="G157" s="28"/>
      <c r="H157"/>
      <c r="I157"/>
      <c r="J157"/>
      <c r="K157"/>
      <c r="L157"/>
      <c r="M157"/>
    </row>
    <row r="158" spans="1:13" x14ac:dyDescent="0.3">
      <c r="A158" t="s">
        <v>647</v>
      </c>
      <c r="B158">
        <v>34.799999999999997</v>
      </c>
      <c r="C158" s="30">
        <v>0</v>
      </c>
      <c r="D158" s="30">
        <v>21</v>
      </c>
      <c r="E158" s="28">
        <f t="shared" si="10"/>
        <v>0</v>
      </c>
      <c r="F158" s="28">
        <f t="shared" si="11"/>
        <v>306432</v>
      </c>
      <c r="G158" s="28"/>
      <c r="H158"/>
      <c r="I158"/>
      <c r="J158"/>
      <c r="K158"/>
      <c r="L158"/>
      <c r="M158"/>
    </row>
    <row r="159" spans="1:13" x14ac:dyDescent="0.3">
      <c r="A159" t="s">
        <v>648</v>
      </c>
      <c r="B159">
        <v>53.1</v>
      </c>
      <c r="C159" s="30">
        <v>4</v>
      </c>
      <c r="D159" s="30">
        <v>21</v>
      </c>
      <c r="E159" s="28">
        <f t="shared" si="10"/>
        <v>93504</v>
      </c>
      <c r="F159" s="28">
        <f t="shared" si="11"/>
        <v>490896</v>
      </c>
      <c r="G159" s="28"/>
      <c r="H159"/>
      <c r="I159"/>
      <c r="J159"/>
      <c r="K159"/>
      <c r="L159"/>
      <c r="M159"/>
    </row>
    <row r="160" spans="1:13" x14ac:dyDescent="0.3">
      <c r="A160" t="s">
        <v>649</v>
      </c>
      <c r="B160">
        <v>38</v>
      </c>
      <c r="C160" s="30">
        <v>0</v>
      </c>
      <c r="D160" s="30">
        <v>21</v>
      </c>
      <c r="E160" s="28">
        <f t="shared" si="10"/>
        <v>0</v>
      </c>
      <c r="F160" s="28">
        <f t="shared" si="11"/>
        <v>338688</v>
      </c>
      <c r="G160" s="28"/>
      <c r="H160"/>
      <c r="I160"/>
      <c r="J160"/>
      <c r="K160"/>
      <c r="L160"/>
      <c r="M160"/>
    </row>
    <row r="161" spans="1:13" x14ac:dyDescent="0.3">
      <c r="A161" t="s">
        <v>650</v>
      </c>
      <c r="B161">
        <v>63.6</v>
      </c>
      <c r="C161" s="30">
        <v>10</v>
      </c>
      <c r="D161" s="30">
        <v>19</v>
      </c>
      <c r="E161" s="28">
        <f t="shared" si="10"/>
        <v>284160</v>
      </c>
      <c r="F161" s="28">
        <f t="shared" si="11"/>
        <v>539904</v>
      </c>
      <c r="G161" s="28"/>
      <c r="H161"/>
      <c r="I161"/>
      <c r="J161"/>
      <c r="K161"/>
      <c r="L161"/>
      <c r="M161"/>
    </row>
    <row r="162" spans="1:13" x14ac:dyDescent="0.3">
      <c r="A162" t="s">
        <v>651</v>
      </c>
      <c r="B162">
        <v>51.6</v>
      </c>
      <c r="C162" s="30">
        <v>0</v>
      </c>
      <c r="D162" s="30">
        <v>18</v>
      </c>
      <c r="E162" s="28">
        <f t="shared" si="10"/>
        <v>0</v>
      </c>
      <c r="F162" s="28">
        <f t="shared" si="11"/>
        <v>407808</v>
      </c>
      <c r="G162" s="28"/>
      <c r="H162"/>
      <c r="I162"/>
      <c r="J162"/>
      <c r="K162"/>
      <c r="L162"/>
      <c r="M162"/>
    </row>
    <row r="163" spans="1:13" x14ac:dyDescent="0.3">
      <c r="A163" t="s">
        <v>616</v>
      </c>
      <c r="B163">
        <v>43.9</v>
      </c>
      <c r="C163" s="30">
        <v>95</v>
      </c>
      <c r="D163" s="30">
        <v>18</v>
      </c>
      <c r="E163" s="28">
        <f t="shared" si="10"/>
        <v>1801200</v>
      </c>
      <c r="F163" s="28">
        <f t="shared" si="11"/>
        <v>341280</v>
      </c>
      <c r="G163" s="28"/>
      <c r="H163"/>
      <c r="I163"/>
      <c r="J163"/>
      <c r="K163"/>
      <c r="L163"/>
      <c r="M163"/>
    </row>
    <row r="164" spans="1:13" x14ac:dyDescent="0.3">
      <c r="A164" t="s">
        <v>527</v>
      </c>
      <c r="B164">
        <v>53.6</v>
      </c>
      <c r="C164" s="30">
        <v>0</v>
      </c>
      <c r="D164" s="30">
        <v>17</v>
      </c>
      <c r="E164" s="28">
        <f t="shared" si="10"/>
        <v>0</v>
      </c>
      <c r="F164" s="28">
        <f t="shared" si="11"/>
        <v>401472</v>
      </c>
      <c r="G164" s="28"/>
      <c r="H164"/>
      <c r="I164"/>
      <c r="J164"/>
      <c r="K164"/>
      <c r="L164"/>
      <c r="M164"/>
    </row>
    <row r="165" spans="1:13" x14ac:dyDescent="0.3">
      <c r="A165" t="s">
        <v>610</v>
      </c>
      <c r="B165">
        <v>72.5</v>
      </c>
      <c r="C165" s="30">
        <v>10</v>
      </c>
      <c r="D165" s="30">
        <v>14</v>
      </c>
      <c r="E165" s="28">
        <f t="shared" si="10"/>
        <v>326879.99999999994</v>
      </c>
      <c r="F165" s="28">
        <f t="shared" si="11"/>
        <v>457631.99999999994</v>
      </c>
      <c r="G165" s="28"/>
      <c r="H165"/>
      <c r="I165"/>
      <c r="J165"/>
      <c r="K165"/>
      <c r="L165"/>
      <c r="M165"/>
    </row>
    <row r="166" spans="1:13" x14ac:dyDescent="0.3">
      <c r="A166" t="s">
        <v>652</v>
      </c>
      <c r="B166">
        <v>64.400000000000006</v>
      </c>
      <c r="C166" s="30">
        <v>0</v>
      </c>
      <c r="D166" s="30">
        <v>14</v>
      </c>
      <c r="E166" s="28">
        <f t="shared" si="10"/>
        <v>0</v>
      </c>
      <c r="F166" s="28">
        <f t="shared" si="11"/>
        <v>403200.00000000006</v>
      </c>
      <c r="G166" s="28"/>
      <c r="H166"/>
      <c r="I166"/>
      <c r="J166"/>
      <c r="K166"/>
      <c r="L166"/>
      <c r="M166"/>
    </row>
    <row r="167" spans="1:13" x14ac:dyDescent="0.3">
      <c r="A167" t="s">
        <v>653</v>
      </c>
      <c r="B167">
        <v>44.4</v>
      </c>
      <c r="C167" s="30">
        <v>10</v>
      </c>
      <c r="D167" s="30">
        <v>14</v>
      </c>
      <c r="E167" s="28">
        <f t="shared" si="10"/>
        <v>192000</v>
      </c>
      <c r="F167" s="28">
        <f t="shared" si="11"/>
        <v>268800</v>
      </c>
      <c r="G167" s="28"/>
      <c r="H167"/>
      <c r="I167"/>
      <c r="J167"/>
      <c r="K167"/>
      <c r="L167"/>
      <c r="M167"/>
    </row>
    <row r="168" spans="1:13" x14ac:dyDescent="0.3">
      <c r="A168" t="s">
        <v>614</v>
      </c>
      <c r="B168">
        <v>38.6</v>
      </c>
      <c r="C168" s="30">
        <v>0</v>
      </c>
      <c r="D168" s="30">
        <v>12</v>
      </c>
      <c r="E168" s="28">
        <f t="shared" si="10"/>
        <v>0</v>
      </c>
      <c r="F168" s="28">
        <f t="shared" si="11"/>
        <v>196992</v>
      </c>
      <c r="G168" s="28"/>
      <c r="H168"/>
      <c r="I168"/>
      <c r="J168"/>
      <c r="K168"/>
      <c r="L168"/>
      <c r="M168"/>
    </row>
    <row r="169" spans="1:13" x14ac:dyDescent="0.3">
      <c r="A169" t="s">
        <v>654</v>
      </c>
      <c r="B169">
        <v>57.5</v>
      </c>
      <c r="C169" s="30">
        <v>0</v>
      </c>
      <c r="D169" s="30">
        <v>12</v>
      </c>
      <c r="E169" s="28">
        <f t="shared" si="10"/>
        <v>0</v>
      </c>
      <c r="F169" s="28">
        <f t="shared" si="11"/>
        <v>305856</v>
      </c>
      <c r="G169" s="28"/>
      <c r="H169"/>
      <c r="I169"/>
      <c r="J169"/>
      <c r="K169"/>
      <c r="L169"/>
      <c r="M169"/>
    </row>
    <row r="170" spans="1:13" x14ac:dyDescent="0.3">
      <c r="A170" t="s">
        <v>655</v>
      </c>
      <c r="B170">
        <v>45.1</v>
      </c>
      <c r="C170" s="30">
        <v>10</v>
      </c>
      <c r="D170" s="30">
        <v>12</v>
      </c>
      <c r="E170" s="28">
        <f t="shared" si="10"/>
        <v>195360</v>
      </c>
      <c r="F170" s="28">
        <f t="shared" si="11"/>
        <v>234432</v>
      </c>
      <c r="G170" s="28"/>
      <c r="H170"/>
      <c r="I170"/>
      <c r="J170"/>
      <c r="K170"/>
      <c r="L170"/>
      <c r="M170"/>
    </row>
    <row r="171" spans="1:13" x14ac:dyDescent="0.3">
      <c r="A171" t="s">
        <v>656</v>
      </c>
      <c r="B171">
        <v>39.9</v>
      </c>
      <c r="C171" s="30">
        <v>15</v>
      </c>
      <c r="D171" s="30">
        <v>12</v>
      </c>
      <c r="E171" s="28">
        <f t="shared" si="10"/>
        <v>255600</v>
      </c>
      <c r="F171" s="28">
        <f t="shared" si="11"/>
        <v>204480</v>
      </c>
      <c r="G171" s="28"/>
      <c r="H171"/>
      <c r="I171"/>
      <c r="J171"/>
      <c r="K171"/>
      <c r="L171"/>
      <c r="M171"/>
    </row>
    <row r="172" spans="1:13" x14ac:dyDescent="0.3">
      <c r="A172" t="s">
        <v>657</v>
      </c>
      <c r="B172">
        <v>45.5</v>
      </c>
      <c r="C172" s="30">
        <v>25</v>
      </c>
      <c r="D172" s="30">
        <v>12</v>
      </c>
      <c r="E172" s="28">
        <f t="shared" si="10"/>
        <v>493200</v>
      </c>
      <c r="F172" s="28">
        <f t="shared" si="11"/>
        <v>236736</v>
      </c>
      <c r="G172" s="28"/>
      <c r="H172"/>
      <c r="I172"/>
      <c r="J172"/>
      <c r="K172"/>
      <c r="L172"/>
      <c r="M172"/>
    </row>
    <row r="173" spans="1:13" x14ac:dyDescent="0.3">
      <c r="A173" t="s">
        <v>605</v>
      </c>
      <c r="B173">
        <v>61.6</v>
      </c>
      <c r="C173" s="30">
        <v>25</v>
      </c>
      <c r="D173" s="30">
        <v>12</v>
      </c>
      <c r="E173" s="28">
        <f t="shared" si="10"/>
        <v>686400</v>
      </c>
      <c r="F173" s="28">
        <f t="shared" si="11"/>
        <v>329472</v>
      </c>
      <c r="G173" s="28"/>
      <c r="H173"/>
      <c r="I173"/>
      <c r="J173"/>
      <c r="K173"/>
      <c r="L173"/>
      <c r="M173"/>
    </row>
    <row r="174" spans="1:13" x14ac:dyDescent="0.3">
      <c r="A174" t="s">
        <v>569</v>
      </c>
      <c r="B174">
        <v>39.200000000000003</v>
      </c>
      <c r="C174" s="30">
        <v>90</v>
      </c>
      <c r="D174" s="30">
        <v>12</v>
      </c>
      <c r="E174" s="28">
        <f t="shared" si="10"/>
        <v>1503360.0000000002</v>
      </c>
      <c r="F174" s="28">
        <f t="shared" si="11"/>
        <v>200448.00000000006</v>
      </c>
      <c r="G174" s="28"/>
      <c r="H174"/>
      <c r="I174"/>
      <c r="J174"/>
      <c r="K174"/>
      <c r="L174"/>
      <c r="M174"/>
    </row>
    <row r="175" spans="1:13" x14ac:dyDescent="0.3">
      <c r="A175" t="s">
        <v>658</v>
      </c>
      <c r="B175">
        <v>59.4</v>
      </c>
      <c r="C175" s="30">
        <v>4</v>
      </c>
      <c r="D175" s="30">
        <v>12</v>
      </c>
      <c r="E175" s="28">
        <f t="shared" si="10"/>
        <v>105600</v>
      </c>
      <c r="F175" s="28">
        <f t="shared" si="11"/>
        <v>316800</v>
      </c>
      <c r="G175" s="28"/>
      <c r="H175"/>
      <c r="I175"/>
      <c r="J175"/>
      <c r="K175"/>
      <c r="L175"/>
      <c r="M175"/>
    </row>
    <row r="176" spans="1:13" x14ac:dyDescent="0.3">
      <c r="A176" t="s">
        <v>659</v>
      </c>
      <c r="B176">
        <v>40.700000000000003</v>
      </c>
      <c r="C176" s="30">
        <v>20</v>
      </c>
      <c r="D176" s="30">
        <v>12</v>
      </c>
      <c r="E176" s="28">
        <f t="shared" si="10"/>
        <v>348480.00000000006</v>
      </c>
      <c r="F176" s="28">
        <f t="shared" si="11"/>
        <v>209088.00000000006</v>
      </c>
      <c r="G176" s="28"/>
      <c r="H176"/>
      <c r="I176"/>
      <c r="J176"/>
      <c r="K176"/>
      <c r="L176"/>
      <c r="M176"/>
    </row>
    <row r="177" spans="1:13" x14ac:dyDescent="0.3">
      <c r="A177" t="s">
        <v>660</v>
      </c>
      <c r="B177">
        <v>28.1</v>
      </c>
      <c r="C177" s="30">
        <v>40</v>
      </c>
      <c r="D177" s="30">
        <v>12</v>
      </c>
      <c r="E177" s="28">
        <f t="shared" si="10"/>
        <v>455040.00000000006</v>
      </c>
      <c r="F177" s="28">
        <f t="shared" si="11"/>
        <v>136512.00000000003</v>
      </c>
      <c r="G177" s="28"/>
      <c r="H177"/>
      <c r="I177"/>
      <c r="J177"/>
      <c r="K177"/>
      <c r="L177"/>
      <c r="M177"/>
    </row>
    <row r="178" spans="1:13" x14ac:dyDescent="0.3">
      <c r="A178" t="s">
        <v>567</v>
      </c>
      <c r="B178">
        <v>43.8</v>
      </c>
      <c r="C178" s="30">
        <v>85</v>
      </c>
      <c r="D178" s="30">
        <v>9</v>
      </c>
      <c r="E178" s="28">
        <f t="shared" si="10"/>
        <v>1607520</v>
      </c>
      <c r="F178" s="28">
        <f t="shared" si="11"/>
        <v>170208</v>
      </c>
      <c r="G178" s="28"/>
      <c r="H178"/>
      <c r="I178"/>
      <c r="J178"/>
      <c r="K178"/>
      <c r="L178"/>
      <c r="M178"/>
    </row>
    <row r="179" spans="1:13" x14ac:dyDescent="0.3">
      <c r="A179" t="s">
        <v>661</v>
      </c>
      <c r="B179">
        <v>27.4</v>
      </c>
      <c r="C179" s="30">
        <v>6</v>
      </c>
      <c r="D179" s="30">
        <v>9</v>
      </c>
      <c r="E179" s="28">
        <f t="shared" si="10"/>
        <v>66240</v>
      </c>
      <c r="F179" s="28">
        <f t="shared" si="11"/>
        <v>99360</v>
      </c>
      <c r="G179" s="28"/>
      <c r="H179"/>
      <c r="I179"/>
      <c r="J179"/>
      <c r="K179"/>
      <c r="L179"/>
      <c r="M179"/>
    </row>
    <row r="180" spans="1:13" x14ac:dyDescent="0.3">
      <c r="A180" t="s">
        <v>662</v>
      </c>
      <c r="B180">
        <v>90.6</v>
      </c>
      <c r="C180" s="30">
        <v>0</v>
      </c>
      <c r="D180" s="30">
        <v>6</v>
      </c>
      <c r="E180" s="28">
        <f t="shared" si="10"/>
        <v>0</v>
      </c>
      <c r="F180" s="28">
        <f t="shared" si="11"/>
        <v>248255.99999999994</v>
      </c>
      <c r="G180" s="28"/>
      <c r="H180"/>
      <c r="I180"/>
      <c r="J180"/>
      <c r="K180"/>
      <c r="L180"/>
      <c r="M180"/>
    </row>
    <row r="181" spans="1:13" x14ac:dyDescent="0.3">
      <c r="A181" t="s">
        <v>663</v>
      </c>
      <c r="B181">
        <v>40.200000000000003</v>
      </c>
      <c r="C181" s="30">
        <v>35</v>
      </c>
      <c r="D181" s="30">
        <v>5</v>
      </c>
      <c r="E181" s="28">
        <f t="shared" si="10"/>
        <v>601440.00000000012</v>
      </c>
      <c r="F181" s="28">
        <f t="shared" si="11"/>
        <v>85920.000000000015</v>
      </c>
      <c r="G181" s="28"/>
      <c r="H181"/>
      <c r="I181"/>
      <c r="J181"/>
      <c r="K181"/>
      <c r="L181"/>
      <c r="M181"/>
    </row>
    <row r="182" spans="1:13" x14ac:dyDescent="0.3">
      <c r="A182" t="s">
        <v>664</v>
      </c>
      <c r="B182">
        <v>41.1</v>
      </c>
      <c r="C182" s="30">
        <v>30</v>
      </c>
      <c r="D182" s="30">
        <v>5</v>
      </c>
      <c r="E182" s="28">
        <f t="shared" si="10"/>
        <v>528480</v>
      </c>
      <c r="F182" s="28">
        <f t="shared" si="11"/>
        <v>88080</v>
      </c>
      <c r="G182" s="28"/>
      <c r="H182"/>
      <c r="I182"/>
      <c r="J182"/>
      <c r="K182"/>
      <c r="L182"/>
      <c r="M182"/>
    </row>
    <row r="183" spans="1:13" x14ac:dyDescent="0.3">
      <c r="A183" t="s">
        <v>563</v>
      </c>
      <c r="B183">
        <v>51.6</v>
      </c>
      <c r="C183" s="30">
        <v>10</v>
      </c>
      <c r="D183" s="30">
        <v>5</v>
      </c>
      <c r="E183" s="28">
        <f t="shared" si="10"/>
        <v>226560</v>
      </c>
      <c r="F183" s="28">
        <f t="shared" si="11"/>
        <v>113280</v>
      </c>
      <c r="G183" s="28"/>
      <c r="H183"/>
      <c r="I183"/>
      <c r="J183"/>
      <c r="K183"/>
      <c r="L183"/>
      <c r="M183"/>
    </row>
    <row r="184" spans="1:13" x14ac:dyDescent="0.3">
      <c r="A184" t="s">
        <v>665</v>
      </c>
      <c r="B184">
        <v>48.7</v>
      </c>
      <c r="C184" s="30">
        <v>0</v>
      </c>
      <c r="D184" s="30">
        <v>5</v>
      </c>
      <c r="E184" s="28">
        <f t="shared" si="10"/>
        <v>0</v>
      </c>
      <c r="F184" s="28">
        <f t="shared" si="11"/>
        <v>106320.00000000001</v>
      </c>
      <c r="G184" s="28"/>
      <c r="H184"/>
      <c r="I184"/>
      <c r="J184"/>
      <c r="K184"/>
      <c r="L184"/>
      <c r="M184"/>
    </row>
    <row r="185" spans="1:13" x14ac:dyDescent="0.3">
      <c r="A185" t="s">
        <v>666</v>
      </c>
      <c r="B185">
        <v>37.9</v>
      </c>
      <c r="C185" s="30">
        <v>0</v>
      </c>
      <c r="D185" s="30">
        <v>5</v>
      </c>
      <c r="E185" s="28">
        <f t="shared" si="10"/>
        <v>0</v>
      </c>
      <c r="F185" s="28">
        <f t="shared" si="11"/>
        <v>80400</v>
      </c>
      <c r="G185" s="28"/>
      <c r="H185"/>
      <c r="I185"/>
      <c r="J185"/>
      <c r="K185"/>
      <c r="L185"/>
      <c r="M185"/>
    </row>
    <row r="186" spans="1:13" x14ac:dyDescent="0.3">
      <c r="A186" t="s">
        <v>667</v>
      </c>
      <c r="B186">
        <v>43.6</v>
      </c>
      <c r="C186" s="30">
        <v>25</v>
      </c>
      <c r="D186" s="30">
        <v>5</v>
      </c>
      <c r="E186" s="28">
        <f t="shared" si="10"/>
        <v>470400</v>
      </c>
      <c r="F186" s="28">
        <f t="shared" si="11"/>
        <v>94080</v>
      </c>
      <c r="G186" s="28"/>
      <c r="H186"/>
      <c r="I186"/>
      <c r="J186"/>
      <c r="K186"/>
      <c r="L186"/>
      <c r="M186"/>
    </row>
    <row r="187" spans="1:13" x14ac:dyDescent="0.3">
      <c r="A187" t="s">
        <v>585</v>
      </c>
      <c r="B187">
        <v>54.2</v>
      </c>
      <c r="C187" s="30">
        <v>60</v>
      </c>
      <c r="D187" s="30">
        <v>5</v>
      </c>
      <c r="E187" s="28">
        <f t="shared" si="10"/>
        <v>1434240.0000000002</v>
      </c>
      <c r="F187" s="28">
        <f t="shared" si="11"/>
        <v>119520.00000000001</v>
      </c>
      <c r="G187" s="28"/>
      <c r="H187"/>
      <c r="I187"/>
      <c r="J187"/>
      <c r="K187"/>
      <c r="L187"/>
      <c r="M187"/>
    </row>
  </sheetData>
  <pageMargins left="0.7" right="0.7" top="0.75" bottom="0.75" header="0.3" footer="0.3"/>
  <pageSetup orientation="portrait" horizontalDpi="300" verticalDpi="3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3">
    <tabColor theme="4" tint="0.39997558519241921"/>
  </sheetPr>
  <dimension ref="A1:U21"/>
  <sheetViews>
    <sheetView workbookViewId="0">
      <selection activeCell="G7" sqref="G7"/>
    </sheetView>
  </sheetViews>
  <sheetFormatPr defaultRowHeight="14.4" x14ac:dyDescent="0.3"/>
  <cols>
    <col min="1" max="1" width="18.6640625" style="133" customWidth="1"/>
    <col min="2" max="3" width="10.33203125" style="133" bestFit="1" customWidth="1"/>
    <col min="4" max="10" width="10.109375" style="133" bestFit="1" customWidth="1"/>
    <col min="11" max="16384" width="8.88671875" style="133"/>
  </cols>
  <sheetData>
    <row r="1" spans="1:21" s="137" customFormat="1" ht="25.8" x14ac:dyDescent="0.5">
      <c r="A1" s="118" t="s">
        <v>668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118"/>
      <c r="S1" s="118"/>
      <c r="T1" s="118"/>
      <c r="U1" s="118"/>
    </row>
    <row r="3" spans="1:21" x14ac:dyDescent="0.3">
      <c r="A3" s="140"/>
    </row>
    <row r="5" spans="1:21" s="138" customFormat="1" ht="18" x14ac:dyDescent="0.35">
      <c r="A5" s="117" t="s">
        <v>1122</v>
      </c>
      <c r="B5" s="117" t="s">
        <v>669</v>
      </c>
      <c r="C5" s="117"/>
      <c r="D5" s="117"/>
      <c r="E5" s="117"/>
      <c r="F5" s="117"/>
      <c r="G5" s="117"/>
      <c r="H5" s="117"/>
      <c r="I5" s="117"/>
      <c r="J5" s="117"/>
      <c r="K5" s="117"/>
      <c r="L5" s="117"/>
      <c r="M5" s="117"/>
      <c r="N5" s="117"/>
      <c r="O5" s="117"/>
      <c r="P5" s="117"/>
      <c r="Q5" s="117"/>
      <c r="R5" s="117"/>
      <c r="S5" s="117"/>
      <c r="T5" s="117"/>
      <c r="U5" s="117"/>
    </row>
    <row r="6" spans="1:21" x14ac:dyDescent="0.3">
      <c r="A6"/>
      <c r="B6" s="3" t="s">
        <v>47</v>
      </c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</row>
    <row r="7" spans="1:21" s="140" customFormat="1" x14ac:dyDescent="0.3">
      <c r="A7" s="1" t="s">
        <v>670</v>
      </c>
      <c r="B7" s="124">
        <v>2015</v>
      </c>
      <c r="C7" s="124">
        <v>2016</v>
      </c>
      <c r="D7" s="124">
        <v>2017</v>
      </c>
      <c r="E7" s="124">
        <v>2018</v>
      </c>
      <c r="F7" s="124">
        <v>2019</v>
      </c>
      <c r="G7" s="170"/>
      <c r="H7" s="168"/>
      <c r="I7" s="168"/>
      <c r="J7" s="168"/>
      <c r="K7" s="168"/>
      <c r="L7" s="168"/>
      <c r="M7" s="168"/>
      <c r="N7" s="168"/>
      <c r="O7" s="168"/>
      <c r="P7" s="168"/>
      <c r="Q7" s="168"/>
      <c r="R7" s="168"/>
      <c r="S7" s="168"/>
      <c r="T7" s="168"/>
      <c r="U7" s="168"/>
    </row>
    <row r="8" spans="1:21" x14ac:dyDescent="0.3">
      <c r="A8" t="s">
        <v>850</v>
      </c>
      <c r="B8" s="24">
        <v>14974.77</v>
      </c>
      <c r="C8" s="24">
        <v>14802.95</v>
      </c>
      <c r="D8" s="24">
        <v>17027.98</v>
      </c>
      <c r="E8" s="24">
        <v>15379.2</v>
      </c>
      <c r="F8" s="24">
        <v>15127.299999999997</v>
      </c>
      <c r="G8" s="171"/>
      <c r="H8" s="129"/>
      <c r="I8" s="129"/>
      <c r="J8" s="129"/>
      <c r="K8" s="129"/>
      <c r="L8" s="129"/>
      <c r="M8" s="129"/>
      <c r="N8" s="129"/>
      <c r="O8" s="129"/>
      <c r="P8" s="129"/>
      <c r="Q8" s="129"/>
      <c r="R8" s="129"/>
      <c r="S8" s="129"/>
      <c r="T8" s="129"/>
      <c r="U8" s="129"/>
    </row>
    <row r="9" spans="1:21" x14ac:dyDescent="0.3">
      <c r="A9" t="s">
        <v>851</v>
      </c>
      <c r="B9" s="24">
        <v>9658.91</v>
      </c>
      <c r="C9" s="24">
        <v>10762.78</v>
      </c>
      <c r="D9" s="24">
        <v>10700.37</v>
      </c>
      <c r="E9" s="24">
        <v>10492.53</v>
      </c>
      <c r="F9" s="24">
        <v>10094.279999999999</v>
      </c>
      <c r="G9" s="171"/>
      <c r="H9" s="129"/>
      <c r="I9" s="129"/>
      <c r="J9" s="129"/>
      <c r="K9" s="129"/>
      <c r="L9" s="129"/>
      <c r="M9" s="129"/>
      <c r="N9" s="129"/>
      <c r="O9" s="129"/>
      <c r="P9" s="129"/>
      <c r="Q9" s="129"/>
      <c r="R9" s="129"/>
      <c r="S9" s="129"/>
      <c r="T9" s="129"/>
      <c r="U9" s="129"/>
    </row>
    <row r="10" spans="1:21" x14ac:dyDescent="0.3">
      <c r="A10" t="s">
        <v>852</v>
      </c>
      <c r="B10" s="24">
        <v>8183.1</v>
      </c>
      <c r="C10" s="24">
        <v>8073.3</v>
      </c>
      <c r="D10" s="24">
        <v>7930.17</v>
      </c>
      <c r="E10" s="24">
        <v>8101.73</v>
      </c>
      <c r="F10" s="24">
        <v>12789.62</v>
      </c>
      <c r="G10" s="171"/>
      <c r="H10" s="129"/>
      <c r="I10" s="129"/>
      <c r="J10" s="129"/>
      <c r="K10" s="129"/>
      <c r="L10" s="129"/>
      <c r="M10" s="129"/>
      <c r="N10" s="129"/>
      <c r="O10" s="129"/>
      <c r="P10" s="129"/>
      <c r="Q10" s="129"/>
      <c r="R10" s="129"/>
      <c r="S10" s="129"/>
      <c r="T10" s="129"/>
      <c r="U10" s="129"/>
    </row>
    <row r="11" spans="1:21" x14ac:dyDescent="0.3">
      <c r="A11" t="s">
        <v>853</v>
      </c>
      <c r="B11" s="24">
        <v>36278.870000000003</v>
      </c>
      <c r="C11" s="24">
        <v>35228.959999999999</v>
      </c>
      <c r="D11" s="24">
        <v>41705.32</v>
      </c>
      <c r="E11" s="24">
        <v>34579.269999999997</v>
      </c>
      <c r="F11" s="24">
        <v>34938.200000000004</v>
      </c>
      <c r="G11" s="171"/>
      <c r="H11" s="129"/>
      <c r="I11" s="129"/>
      <c r="J11" s="129"/>
      <c r="K11" s="129"/>
      <c r="L11" s="129"/>
      <c r="M11" s="129"/>
      <c r="N11" s="129"/>
      <c r="O11" s="129"/>
      <c r="P11" s="129"/>
      <c r="Q11" s="129"/>
      <c r="R11" s="129"/>
      <c r="S11" s="129"/>
      <c r="T11" s="129"/>
      <c r="U11" s="129"/>
    </row>
    <row r="12" spans="1:21" x14ac:dyDescent="0.3">
      <c r="A12" t="s">
        <v>854</v>
      </c>
      <c r="B12" s="24">
        <v>5054.72</v>
      </c>
      <c r="C12" s="24">
        <v>4762.1899999999996</v>
      </c>
      <c r="D12" s="24">
        <v>4133.8599999999997</v>
      </c>
      <c r="E12" s="24">
        <v>4416.72</v>
      </c>
      <c r="F12" s="24">
        <v>4059.0499999999997</v>
      </c>
      <c r="G12" s="171"/>
      <c r="H12" s="129"/>
      <c r="I12" s="129"/>
      <c r="J12" s="129"/>
      <c r="K12" s="129"/>
      <c r="L12" s="129"/>
      <c r="M12" s="129"/>
      <c r="N12" s="129"/>
      <c r="O12" s="129"/>
      <c r="P12" s="129"/>
      <c r="Q12" s="129"/>
      <c r="R12" s="129"/>
      <c r="S12" s="129"/>
      <c r="T12" s="129"/>
      <c r="U12" s="129"/>
    </row>
    <row r="13" spans="1:21" x14ac:dyDescent="0.3">
      <c r="A13" t="s">
        <v>855</v>
      </c>
      <c r="B13" s="107">
        <v>0</v>
      </c>
      <c r="C13" s="107">
        <v>0</v>
      </c>
      <c r="D13" s="24">
        <v>0</v>
      </c>
      <c r="E13" s="107">
        <v>0</v>
      </c>
      <c r="F13" s="24">
        <v>0</v>
      </c>
      <c r="G13" s="171"/>
      <c r="H13" s="129"/>
      <c r="I13" s="129"/>
      <c r="J13" s="129"/>
      <c r="K13" s="129"/>
      <c r="L13" s="129"/>
      <c r="M13" s="129"/>
      <c r="N13" s="129"/>
      <c r="O13" s="129"/>
      <c r="P13" s="129"/>
      <c r="Q13" s="129"/>
      <c r="R13" s="129"/>
      <c r="S13" s="129"/>
      <c r="T13" s="129"/>
      <c r="U13" s="129"/>
    </row>
    <row r="14" spans="1:21" x14ac:dyDescent="0.3">
      <c r="B14" s="178"/>
      <c r="C14" s="178"/>
      <c r="D14" s="178"/>
      <c r="E14" s="178"/>
    </row>
    <row r="15" spans="1:21" x14ac:dyDescent="0.3">
      <c r="A15" s="133" t="s">
        <v>67</v>
      </c>
      <c r="B15" s="178" t="s">
        <v>671</v>
      </c>
      <c r="C15" s="178"/>
      <c r="D15" s="178"/>
      <c r="E15" s="178"/>
    </row>
    <row r="17" spans="1:21" s="138" customFormat="1" ht="18" x14ac:dyDescent="0.35">
      <c r="A17" s="117" t="s">
        <v>1123</v>
      </c>
      <c r="B17" s="117" t="s">
        <v>672</v>
      </c>
      <c r="C17" s="117"/>
      <c r="D17" s="117"/>
      <c r="E17" s="117"/>
      <c r="F17" s="117"/>
      <c r="G17" s="117"/>
      <c r="H17" s="117"/>
      <c r="I17" s="117"/>
      <c r="J17" s="117"/>
      <c r="K17" s="117"/>
      <c r="L17" s="117"/>
      <c r="M17" s="117"/>
      <c r="N17" s="117"/>
      <c r="O17" s="117"/>
      <c r="P17" s="117"/>
      <c r="Q17" s="117"/>
      <c r="R17" s="117"/>
      <c r="S17" s="117"/>
      <c r="T17" s="117"/>
      <c r="U17" s="117"/>
    </row>
    <row r="18" spans="1:21" s="140" customFormat="1" x14ac:dyDescent="0.3">
      <c r="A18" s="1" t="s">
        <v>61</v>
      </c>
      <c r="B18" s="1">
        <v>2010</v>
      </c>
      <c r="C18" s="1">
        <v>2011</v>
      </c>
      <c r="D18" s="1">
        <v>2012</v>
      </c>
      <c r="E18" s="1">
        <v>2013</v>
      </c>
      <c r="F18" s="1">
        <v>2014</v>
      </c>
      <c r="G18" s="1">
        <v>2015</v>
      </c>
      <c r="H18" s="1">
        <v>2016</v>
      </c>
      <c r="I18" s="1">
        <v>2017</v>
      </c>
      <c r="J18" s="1">
        <v>2018</v>
      </c>
      <c r="K18" s="129"/>
      <c r="L18" s="129"/>
      <c r="M18" s="129"/>
      <c r="N18" s="129"/>
      <c r="O18" s="129"/>
      <c r="P18" s="129"/>
      <c r="Q18" s="129"/>
      <c r="R18" s="129"/>
      <c r="S18" s="129"/>
      <c r="T18" s="129"/>
      <c r="U18" s="129"/>
    </row>
    <row r="19" spans="1:21" x14ac:dyDescent="0.3">
      <c r="A19" t="s">
        <v>999</v>
      </c>
      <c r="B19" s="30">
        <v>40430</v>
      </c>
      <c r="C19" s="30">
        <v>33373</v>
      </c>
      <c r="D19" s="30">
        <v>36172</v>
      </c>
      <c r="E19" s="30">
        <v>47652</v>
      </c>
      <c r="F19" s="30">
        <v>46169</v>
      </c>
      <c r="G19" s="30">
        <v>35440</v>
      </c>
      <c r="H19" s="30">
        <v>21711</v>
      </c>
      <c r="I19" s="30">
        <v>20481</v>
      </c>
      <c r="J19" s="30">
        <v>19941</v>
      </c>
      <c r="K19" s="129"/>
      <c r="L19" s="129"/>
      <c r="M19" s="129"/>
      <c r="N19" s="129"/>
      <c r="O19" s="129"/>
      <c r="P19" s="129"/>
      <c r="Q19" s="129"/>
      <c r="R19" s="129"/>
      <c r="S19" s="129"/>
      <c r="T19" s="129"/>
      <c r="U19" s="129"/>
    </row>
    <row r="20" spans="1:21" x14ac:dyDescent="0.3">
      <c r="A20" t="s">
        <v>1000</v>
      </c>
      <c r="B20" s="30">
        <v>12974</v>
      </c>
      <c r="C20" s="30">
        <v>6591</v>
      </c>
      <c r="D20" s="30">
        <v>9783</v>
      </c>
      <c r="E20" s="30">
        <v>22525</v>
      </c>
      <c r="F20" s="30">
        <v>22748</v>
      </c>
      <c r="G20" s="30">
        <v>24160</v>
      </c>
      <c r="H20" s="30">
        <v>3353</v>
      </c>
      <c r="I20" s="30">
        <v>2050</v>
      </c>
      <c r="J20" s="30">
        <v>2027</v>
      </c>
      <c r="K20" s="129"/>
      <c r="L20" s="129"/>
      <c r="M20" s="129"/>
      <c r="N20" s="129"/>
      <c r="O20" s="129"/>
      <c r="P20" s="129"/>
      <c r="Q20" s="129"/>
      <c r="R20" s="129"/>
      <c r="S20" s="129"/>
      <c r="T20" s="129"/>
      <c r="U20" s="129"/>
    </row>
    <row r="21" spans="1:21" x14ac:dyDescent="0.3">
      <c r="A21" s="133" t="s">
        <v>67</v>
      </c>
      <c r="B21" s="139" t="s">
        <v>674</v>
      </c>
    </row>
  </sheetData>
  <hyperlinks>
    <hyperlink ref="B21" r:id="rId1" xr:uid="{00000000-0004-0000-0A00-000000000000}"/>
  </hyperlinks>
  <pageMargins left="0.7" right="0.7" top="0.75" bottom="0.75" header="0.3" footer="0.3"/>
  <pageSetup orientation="portrait" horizontalDpi="300" verticalDpi="300"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402AE9-A673-4309-8303-90B3D78E9F5D}">
  <sheetPr codeName="Sheet14">
    <tabColor theme="4" tint="0.39997558519241921"/>
  </sheetPr>
  <dimension ref="A1:R52"/>
  <sheetViews>
    <sheetView workbookViewId="0">
      <selection activeCell="A42" sqref="A42:XFD42"/>
    </sheetView>
  </sheetViews>
  <sheetFormatPr defaultRowHeight="14.4" x14ac:dyDescent="0.3"/>
  <cols>
    <col min="1" max="1" width="24.88671875" style="133" bestFit="1" customWidth="1"/>
    <col min="2" max="4" width="13.6640625" style="133" bestFit="1" customWidth="1"/>
    <col min="5" max="6" width="11" style="133" bestFit="1" customWidth="1"/>
    <col min="7" max="16384" width="8.88671875" style="133"/>
  </cols>
  <sheetData>
    <row r="1" spans="1:18" s="137" customFormat="1" ht="25.8" x14ac:dyDescent="0.5">
      <c r="A1" s="118" t="s">
        <v>675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118"/>
    </row>
    <row r="3" spans="1:18" s="138" customFormat="1" ht="18" x14ac:dyDescent="0.35">
      <c r="A3" s="117" t="s">
        <v>1124</v>
      </c>
      <c r="B3" s="117" t="s">
        <v>676</v>
      </c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  <c r="P3" s="117"/>
      <c r="Q3" s="117"/>
      <c r="R3" s="117"/>
    </row>
    <row r="4" spans="1:18" x14ac:dyDescent="0.3">
      <c r="A4" t="s">
        <v>61</v>
      </c>
      <c r="B4"/>
      <c r="C4">
        <v>2015</v>
      </c>
      <c r="D4">
        <v>2016</v>
      </c>
      <c r="E4">
        <v>2017</v>
      </c>
      <c r="F4">
        <v>2018</v>
      </c>
      <c r="G4" s="129"/>
      <c r="H4" s="129"/>
      <c r="I4" s="129"/>
      <c r="J4" s="129"/>
      <c r="K4" s="129"/>
      <c r="L4" s="129"/>
      <c r="M4" s="129"/>
      <c r="N4" s="129"/>
      <c r="O4" s="129"/>
      <c r="P4" s="129"/>
      <c r="Q4" s="129"/>
      <c r="R4" s="129"/>
    </row>
    <row r="5" spans="1:18" x14ac:dyDescent="0.3">
      <c r="A5" t="s">
        <v>677</v>
      </c>
      <c r="B5" t="s">
        <v>678</v>
      </c>
      <c r="C5" s="28">
        <f>D5</f>
        <v>5731</v>
      </c>
      <c r="D5" s="30">
        <v>5731</v>
      </c>
      <c r="E5" s="30">
        <v>4177</v>
      </c>
      <c r="F5" s="30">
        <v>3944</v>
      </c>
      <c r="G5" s="129"/>
      <c r="H5" s="129"/>
      <c r="I5" s="129"/>
      <c r="J5" s="129"/>
      <c r="K5" s="129"/>
      <c r="L5" s="129"/>
      <c r="M5" s="129"/>
      <c r="N5" s="129"/>
      <c r="O5" s="129"/>
      <c r="P5" s="129"/>
      <c r="Q5" s="129"/>
      <c r="R5" s="129"/>
    </row>
    <row r="6" spans="1:18" x14ac:dyDescent="0.3">
      <c r="A6" t="s">
        <v>679</v>
      </c>
      <c r="B6" t="s">
        <v>678</v>
      </c>
      <c r="C6" s="28">
        <f t="shared" ref="C6:C12" si="0">D6</f>
        <v>2910.5</v>
      </c>
      <c r="D6" s="30">
        <v>2910.5</v>
      </c>
      <c r="E6" s="30">
        <v>1514</v>
      </c>
      <c r="F6" s="30">
        <v>2192</v>
      </c>
      <c r="G6" s="129"/>
      <c r="H6" s="129"/>
      <c r="I6" s="129"/>
      <c r="J6" s="129"/>
      <c r="K6" s="129"/>
      <c r="L6" s="129"/>
      <c r="M6" s="129"/>
      <c r="N6" s="129"/>
      <c r="O6" s="129"/>
      <c r="P6" s="129"/>
      <c r="Q6" s="129"/>
      <c r="R6" s="129"/>
    </row>
    <row r="7" spans="1:18" x14ac:dyDescent="0.3">
      <c r="A7" t="s">
        <v>680</v>
      </c>
      <c r="B7" t="s">
        <v>678</v>
      </c>
      <c r="C7" s="28">
        <f t="shared" si="0"/>
        <v>11535</v>
      </c>
      <c r="D7" s="30">
        <v>11535</v>
      </c>
      <c r="E7" s="30">
        <v>19211.5</v>
      </c>
      <c r="F7" s="30">
        <v>12805</v>
      </c>
      <c r="G7" s="129"/>
      <c r="H7" s="129"/>
      <c r="I7" s="129"/>
      <c r="J7" s="129"/>
      <c r="K7" s="129"/>
      <c r="L7" s="129"/>
      <c r="M7" s="129"/>
      <c r="N7" s="129"/>
      <c r="O7" s="129"/>
      <c r="P7" s="129"/>
      <c r="Q7" s="129"/>
      <c r="R7" s="129"/>
    </row>
    <row r="8" spans="1:18" x14ac:dyDescent="0.3">
      <c r="A8" t="s">
        <v>681</v>
      </c>
      <c r="B8" t="s">
        <v>678</v>
      </c>
      <c r="C8" s="28">
        <f t="shared" si="0"/>
        <v>40985</v>
      </c>
      <c r="D8" s="30">
        <v>40985</v>
      </c>
      <c r="E8" s="30">
        <v>46132</v>
      </c>
      <c r="F8" s="30">
        <v>64883</v>
      </c>
      <c r="G8" s="129"/>
      <c r="H8" s="129"/>
      <c r="I8" s="129"/>
      <c r="J8" s="129"/>
      <c r="K8" s="129"/>
      <c r="L8" s="129"/>
      <c r="M8" s="129"/>
      <c r="N8" s="129"/>
      <c r="O8" s="129"/>
      <c r="P8" s="129"/>
      <c r="Q8" s="129"/>
      <c r="R8" s="129"/>
    </row>
    <row r="9" spans="1:18" x14ac:dyDescent="0.3">
      <c r="A9" t="s">
        <v>682</v>
      </c>
      <c r="B9" t="s">
        <v>678</v>
      </c>
      <c r="C9" s="28">
        <f t="shared" si="0"/>
        <v>22896.5</v>
      </c>
      <c r="D9" s="30">
        <v>22896.5</v>
      </c>
      <c r="E9" s="30">
        <v>26667.5</v>
      </c>
      <c r="F9" s="30">
        <v>27420</v>
      </c>
      <c r="G9" s="129"/>
      <c r="H9" s="129"/>
      <c r="I9" s="129"/>
      <c r="J9" s="129"/>
      <c r="K9" s="129"/>
      <c r="L9" s="129"/>
      <c r="M9" s="129"/>
      <c r="N9" s="129"/>
      <c r="O9" s="129"/>
      <c r="P9" s="129"/>
      <c r="Q9" s="129"/>
      <c r="R9" s="129"/>
    </row>
    <row r="10" spans="1:18" x14ac:dyDescent="0.3">
      <c r="A10" t="s">
        <v>683</v>
      </c>
      <c r="B10" t="s">
        <v>678</v>
      </c>
      <c r="C10" s="28">
        <f t="shared" si="0"/>
        <v>14156</v>
      </c>
      <c r="D10" s="30">
        <v>14156</v>
      </c>
      <c r="E10" s="30">
        <v>15249</v>
      </c>
      <c r="F10" s="30">
        <v>17070</v>
      </c>
      <c r="G10" s="129"/>
      <c r="H10" s="129"/>
      <c r="I10" s="129"/>
      <c r="J10" s="129"/>
      <c r="K10" s="129"/>
      <c r="L10" s="129"/>
      <c r="M10" s="129"/>
      <c r="N10" s="129"/>
      <c r="O10" s="129"/>
      <c r="P10" s="129"/>
      <c r="Q10" s="129"/>
      <c r="R10" s="129"/>
    </row>
    <row r="11" spans="1:18" x14ac:dyDescent="0.3">
      <c r="A11" t="s">
        <v>684</v>
      </c>
      <c r="B11" t="s">
        <v>685</v>
      </c>
      <c r="C11" s="28">
        <f t="shared" si="0"/>
        <v>18581920</v>
      </c>
      <c r="D11" s="30">
        <v>18581920</v>
      </c>
      <c r="E11" s="30">
        <v>12751480</v>
      </c>
      <c r="F11" s="30">
        <v>13326320</v>
      </c>
      <c r="G11" s="129"/>
      <c r="H11" s="129"/>
      <c r="I11" s="129"/>
      <c r="J11" s="129"/>
      <c r="K11" s="129"/>
      <c r="L11" s="129"/>
      <c r="M11" s="129"/>
      <c r="N11" s="129"/>
      <c r="O11" s="129"/>
      <c r="P11" s="129"/>
      <c r="Q11" s="129"/>
      <c r="R11" s="129"/>
    </row>
    <row r="12" spans="1:18" x14ac:dyDescent="0.3">
      <c r="A12" t="s">
        <v>85</v>
      </c>
      <c r="B12"/>
      <c r="C12" s="28">
        <f t="shared" si="0"/>
        <v>18680134</v>
      </c>
      <c r="D12" s="30">
        <f>SUM(D5:D11)</f>
        <v>18680134</v>
      </c>
      <c r="E12" s="30">
        <f t="shared" ref="E12:F12" si="1">SUM(E5:E11)</f>
        <v>12864431</v>
      </c>
      <c r="F12" s="30">
        <f t="shared" si="1"/>
        <v>13454634</v>
      </c>
      <c r="G12" s="129"/>
      <c r="H12" s="129"/>
      <c r="I12" s="129"/>
      <c r="J12" s="129"/>
      <c r="K12" s="129"/>
      <c r="L12" s="129"/>
      <c r="M12" s="129"/>
      <c r="N12" s="129"/>
      <c r="O12" s="129"/>
      <c r="P12" s="129"/>
      <c r="Q12" s="129"/>
      <c r="R12" s="129"/>
    </row>
    <row r="13" spans="1:18" x14ac:dyDescent="0.3">
      <c r="C13" s="191"/>
      <c r="D13" s="191"/>
      <c r="E13" s="191"/>
    </row>
    <row r="14" spans="1:18" s="138" customFormat="1" ht="18" x14ac:dyDescent="0.35">
      <c r="A14" s="117" t="s">
        <v>1125</v>
      </c>
      <c r="B14" s="117" t="s">
        <v>686</v>
      </c>
      <c r="C14" s="117"/>
      <c r="D14" s="117"/>
      <c r="E14" s="117"/>
      <c r="F14" s="117"/>
      <c r="G14" s="117"/>
      <c r="H14" s="117"/>
      <c r="I14" s="117"/>
      <c r="J14" s="117"/>
      <c r="K14" s="117"/>
      <c r="L14" s="117"/>
      <c r="M14" s="117"/>
      <c r="N14" s="117"/>
      <c r="O14" s="117"/>
      <c r="P14" s="117"/>
      <c r="Q14" s="117"/>
      <c r="R14" s="117"/>
    </row>
    <row r="15" spans="1:18" x14ac:dyDescent="0.3">
      <c r="A15" t="s">
        <v>61</v>
      </c>
      <c r="B15"/>
      <c r="C15">
        <v>2015</v>
      </c>
      <c r="D15">
        <v>2016</v>
      </c>
      <c r="E15">
        <v>2017</v>
      </c>
      <c r="F15">
        <v>2018</v>
      </c>
      <c r="G15" s="129"/>
      <c r="H15" s="129"/>
      <c r="I15" s="129"/>
      <c r="J15" s="129"/>
      <c r="K15" s="129"/>
      <c r="L15" s="129"/>
      <c r="M15" s="129"/>
      <c r="N15" s="129"/>
      <c r="O15" s="129"/>
      <c r="P15" s="129"/>
      <c r="Q15" s="129"/>
      <c r="R15" s="129"/>
    </row>
    <row r="16" spans="1:18" x14ac:dyDescent="0.3">
      <c r="A16" t="s">
        <v>687</v>
      </c>
      <c r="B16"/>
      <c r="C16" s="28">
        <f>D16</f>
        <v>14.368370298939249</v>
      </c>
      <c r="D16" s="30">
        <v>14.368370298939249</v>
      </c>
      <c r="E16" s="30">
        <v>105.11089681774349</v>
      </c>
      <c r="F16" s="30">
        <v>21.600771456123436</v>
      </c>
      <c r="G16" s="129"/>
      <c r="H16" s="129"/>
      <c r="I16" s="129"/>
      <c r="J16" s="129"/>
      <c r="K16" s="129"/>
      <c r="L16" s="129"/>
      <c r="M16" s="129"/>
      <c r="N16" s="129"/>
      <c r="O16" s="129"/>
      <c r="P16" s="129"/>
      <c r="Q16" s="129"/>
      <c r="R16" s="129"/>
    </row>
    <row r="17" spans="1:18" x14ac:dyDescent="0.3">
      <c r="A17" t="s">
        <v>682</v>
      </c>
      <c r="B17"/>
      <c r="C17" s="28">
        <f t="shared" ref="C17:C20" si="2">D17</f>
        <v>69.816779170684669</v>
      </c>
      <c r="D17" s="30">
        <v>69.816779170684669</v>
      </c>
      <c r="E17" s="30">
        <v>33.654773384763743</v>
      </c>
      <c r="F17" s="30">
        <v>29.604628736740601</v>
      </c>
      <c r="G17" s="129"/>
      <c r="H17" s="129"/>
      <c r="I17" s="129"/>
      <c r="J17" s="129"/>
      <c r="K17" s="129"/>
      <c r="L17" s="129"/>
      <c r="M17" s="129"/>
      <c r="N17" s="129"/>
      <c r="O17" s="129"/>
      <c r="P17" s="129"/>
      <c r="Q17" s="129"/>
      <c r="R17" s="129"/>
    </row>
    <row r="18" spans="1:18" x14ac:dyDescent="0.3">
      <c r="A18" t="s">
        <v>688</v>
      </c>
      <c r="B18"/>
      <c r="C18" s="28">
        <f t="shared" si="2"/>
        <v>52.073288331726133</v>
      </c>
      <c r="D18" s="30">
        <v>52.073288331726133</v>
      </c>
      <c r="E18" s="30">
        <v>59.980713596914178</v>
      </c>
      <c r="F18" s="30">
        <v>54.098360655737707</v>
      </c>
      <c r="G18" s="129"/>
      <c r="H18" s="129"/>
      <c r="I18" s="129"/>
      <c r="J18" s="129"/>
      <c r="K18" s="129"/>
      <c r="L18" s="129"/>
      <c r="M18" s="129"/>
      <c r="N18" s="129"/>
      <c r="O18" s="129"/>
      <c r="P18" s="129"/>
      <c r="Q18" s="129"/>
      <c r="R18" s="129"/>
    </row>
    <row r="19" spans="1:18" x14ac:dyDescent="0.3">
      <c r="A19" t="s">
        <v>684</v>
      </c>
      <c r="B19" t="s">
        <v>685</v>
      </c>
      <c r="C19" s="28">
        <f t="shared" si="2"/>
        <v>103464.60945033751</v>
      </c>
      <c r="D19" s="30">
        <v>103464.60945033751</v>
      </c>
      <c r="E19" s="30">
        <v>227575.31340405016</v>
      </c>
      <c r="F19" s="30">
        <v>388637.99421407905</v>
      </c>
      <c r="G19" s="129"/>
      <c r="H19" s="129"/>
      <c r="I19" s="129"/>
      <c r="J19" s="129"/>
      <c r="K19" s="129"/>
      <c r="L19" s="129"/>
      <c r="M19" s="129"/>
      <c r="N19" s="129"/>
      <c r="O19" s="129"/>
      <c r="P19" s="129"/>
      <c r="Q19" s="129"/>
      <c r="R19" s="129"/>
    </row>
    <row r="20" spans="1:18" x14ac:dyDescent="0.3">
      <c r="A20" t="s">
        <v>85</v>
      </c>
      <c r="B20"/>
      <c r="C20" s="28">
        <f t="shared" si="2"/>
        <v>103600.86788813886</v>
      </c>
      <c r="D20" s="30">
        <f>SUM(D16:D19)</f>
        <v>103600.86788813886</v>
      </c>
      <c r="E20" s="30">
        <f t="shared" ref="E20:F20" si="3">SUM(E16:E19)</f>
        <v>227774.05978784958</v>
      </c>
      <c r="F20" s="30">
        <f t="shared" si="3"/>
        <v>388743.29797492764</v>
      </c>
      <c r="G20" s="129"/>
      <c r="H20" s="129"/>
      <c r="I20" s="129"/>
      <c r="J20" s="129"/>
      <c r="K20" s="129"/>
      <c r="L20" s="129"/>
      <c r="M20" s="129"/>
      <c r="N20" s="129"/>
      <c r="O20" s="129"/>
      <c r="P20" s="129"/>
      <c r="Q20" s="129"/>
      <c r="R20" s="129"/>
    </row>
    <row r="21" spans="1:18" x14ac:dyDescent="0.3">
      <c r="C21" s="191"/>
      <c r="D21" s="191"/>
      <c r="E21" s="191"/>
    </row>
    <row r="22" spans="1:18" s="138" customFormat="1" ht="18" x14ac:dyDescent="0.35">
      <c r="A22" s="117" t="s">
        <v>1126</v>
      </c>
      <c r="B22" s="117" t="s">
        <v>689</v>
      </c>
      <c r="C22" s="117"/>
      <c r="D22" s="117"/>
      <c r="E22" s="117"/>
      <c r="F22" s="117"/>
      <c r="G22" s="117"/>
      <c r="H22" s="117"/>
      <c r="I22" s="117"/>
      <c r="J22" s="117"/>
      <c r="K22" s="117"/>
      <c r="L22" s="117"/>
      <c r="M22" s="117"/>
      <c r="N22" s="117"/>
      <c r="O22" s="117"/>
      <c r="P22" s="117"/>
      <c r="Q22" s="117"/>
      <c r="R22" s="117"/>
    </row>
    <row r="23" spans="1:18" x14ac:dyDescent="0.3">
      <c r="A23" s="4" t="s">
        <v>61</v>
      </c>
      <c r="B23"/>
      <c r="C23">
        <v>2015</v>
      </c>
      <c r="D23">
        <v>2016</v>
      </c>
      <c r="E23">
        <v>2017</v>
      </c>
      <c r="F23">
        <v>2018</v>
      </c>
      <c r="G23" s="129"/>
      <c r="H23" s="129"/>
      <c r="I23" s="129"/>
      <c r="J23" s="129"/>
      <c r="K23" s="129"/>
      <c r="L23" s="129"/>
      <c r="M23" s="129"/>
      <c r="N23" s="129"/>
      <c r="O23" s="129"/>
      <c r="P23" s="129"/>
      <c r="Q23" s="129"/>
      <c r="R23" s="129"/>
    </row>
    <row r="24" spans="1:18" x14ac:dyDescent="0.3">
      <c r="A24" t="s">
        <v>690</v>
      </c>
      <c r="B24" t="s">
        <v>691</v>
      </c>
      <c r="C24" s="28">
        <f>D24</f>
        <v>33891.333333333328</v>
      </c>
      <c r="D24" s="30">
        <v>33891.333333333328</v>
      </c>
      <c r="E24" s="30">
        <v>51519</v>
      </c>
      <c r="F24" s="30">
        <v>48044</v>
      </c>
      <c r="G24" s="129"/>
      <c r="H24" s="129"/>
      <c r="I24" s="129"/>
      <c r="J24" s="129"/>
      <c r="K24" s="129"/>
      <c r="L24" s="129"/>
      <c r="M24" s="129"/>
      <c r="N24" s="129"/>
      <c r="O24" s="129"/>
      <c r="P24" s="129"/>
      <c r="Q24" s="129"/>
      <c r="R24" s="129"/>
    </row>
    <row r="25" spans="1:18" x14ac:dyDescent="0.3">
      <c r="A25" t="s">
        <v>692</v>
      </c>
      <c r="B25" t="s">
        <v>691</v>
      </c>
      <c r="C25" s="28">
        <f t="shared" ref="C25:C40" si="4">D25</f>
        <v>37393</v>
      </c>
      <c r="D25" s="30">
        <v>37393</v>
      </c>
      <c r="E25" s="30">
        <v>71217</v>
      </c>
      <c r="F25" s="30">
        <v>52266</v>
      </c>
      <c r="G25" s="129"/>
      <c r="H25" s="129"/>
      <c r="I25" s="129"/>
      <c r="J25" s="129"/>
      <c r="K25" s="129"/>
      <c r="L25" s="129"/>
      <c r="M25" s="129"/>
      <c r="N25" s="129"/>
      <c r="O25" s="129"/>
      <c r="P25" s="129"/>
      <c r="Q25" s="129"/>
      <c r="R25" s="129"/>
    </row>
    <row r="26" spans="1:18" x14ac:dyDescent="0.3">
      <c r="A26" t="s">
        <v>693</v>
      </c>
      <c r="B26"/>
      <c r="C26" s="28">
        <f t="shared" si="4"/>
        <v>917</v>
      </c>
      <c r="D26" s="30">
        <v>917</v>
      </c>
      <c r="E26" s="30">
        <v>535</v>
      </c>
      <c r="F26" s="30">
        <v>708</v>
      </c>
      <c r="G26" s="129"/>
      <c r="H26" s="129"/>
      <c r="I26" s="129"/>
      <c r="J26" s="129"/>
      <c r="K26" s="129"/>
      <c r="L26" s="129"/>
      <c r="M26" s="129"/>
      <c r="N26" s="129"/>
      <c r="O26" s="129"/>
      <c r="P26" s="129"/>
      <c r="Q26" s="129"/>
      <c r="R26" s="129"/>
    </row>
    <row r="27" spans="1:18" x14ac:dyDescent="0.3">
      <c r="A27" t="s">
        <v>694</v>
      </c>
      <c r="B27" t="s">
        <v>678</v>
      </c>
      <c r="C27" s="28">
        <f t="shared" si="4"/>
        <v>0</v>
      </c>
      <c r="D27" s="30">
        <v>0</v>
      </c>
      <c r="E27" s="30">
        <v>0</v>
      </c>
      <c r="F27" s="30">
        <v>0</v>
      </c>
      <c r="G27" s="129"/>
      <c r="H27" s="129"/>
      <c r="I27" s="129"/>
      <c r="J27" s="129"/>
      <c r="K27" s="129"/>
      <c r="L27" s="129"/>
      <c r="M27" s="129"/>
      <c r="N27" s="129"/>
      <c r="O27" s="129"/>
      <c r="P27" s="129"/>
      <c r="Q27" s="129"/>
      <c r="R27" s="129"/>
    </row>
    <row r="28" spans="1:18" x14ac:dyDescent="0.3">
      <c r="A28" t="s">
        <v>695</v>
      </c>
      <c r="B28" t="s">
        <v>678</v>
      </c>
      <c r="C28" s="28">
        <f t="shared" si="4"/>
        <v>408905</v>
      </c>
      <c r="D28" s="30">
        <v>408905</v>
      </c>
      <c r="E28" s="30">
        <v>594825</v>
      </c>
      <c r="F28" s="30">
        <v>808150</v>
      </c>
      <c r="G28" s="129"/>
      <c r="H28" s="129"/>
      <c r="I28" s="129"/>
      <c r="J28" s="129"/>
      <c r="K28" s="129"/>
      <c r="L28" s="129"/>
      <c r="M28" s="129"/>
      <c r="N28" s="129"/>
      <c r="O28" s="129"/>
      <c r="P28" s="129"/>
      <c r="Q28" s="129"/>
      <c r="R28" s="129"/>
    </row>
    <row r="29" spans="1:18" x14ac:dyDescent="0.3">
      <c r="A29" t="s">
        <v>696</v>
      </c>
      <c r="B29" t="s">
        <v>678</v>
      </c>
      <c r="C29" s="28">
        <f t="shared" si="4"/>
        <v>82677</v>
      </c>
      <c r="D29" s="30">
        <v>82677</v>
      </c>
      <c r="E29" s="30">
        <v>70326</v>
      </c>
      <c r="F29" s="30">
        <v>101530</v>
      </c>
      <c r="G29" s="129"/>
      <c r="H29" s="129"/>
      <c r="I29" s="129"/>
      <c r="J29" s="129"/>
      <c r="K29" s="129"/>
      <c r="L29" s="129"/>
      <c r="M29" s="129"/>
      <c r="N29" s="129"/>
      <c r="O29" s="129"/>
      <c r="P29" s="129"/>
      <c r="Q29" s="129"/>
      <c r="R29" s="129"/>
    </row>
    <row r="30" spans="1:18" x14ac:dyDescent="0.3">
      <c r="A30" t="s">
        <v>697</v>
      </c>
      <c r="B30"/>
      <c r="C30" s="28">
        <f t="shared" si="4"/>
        <v>27118.333333333332</v>
      </c>
      <c r="D30" s="30">
        <v>27118.333333333332</v>
      </c>
      <c r="E30" s="30">
        <v>22066</v>
      </c>
      <c r="F30" s="30">
        <v>26453</v>
      </c>
      <c r="G30" s="129"/>
      <c r="H30" s="129"/>
      <c r="I30" s="129"/>
      <c r="J30" s="129"/>
      <c r="K30" s="129"/>
      <c r="L30" s="129"/>
      <c r="M30" s="129"/>
      <c r="N30" s="129"/>
      <c r="O30" s="129"/>
      <c r="P30" s="129"/>
      <c r="Q30" s="129"/>
      <c r="R30" s="129"/>
    </row>
    <row r="31" spans="1:18" x14ac:dyDescent="0.3">
      <c r="A31" t="s">
        <v>698</v>
      </c>
      <c r="B31" t="s">
        <v>685</v>
      </c>
      <c r="C31" s="28">
        <f t="shared" si="4"/>
        <v>225</v>
      </c>
      <c r="D31" s="30">
        <v>225</v>
      </c>
      <c r="E31" s="30">
        <v>211</v>
      </c>
      <c r="F31" s="30">
        <v>213</v>
      </c>
      <c r="G31" s="129"/>
      <c r="H31" s="129"/>
      <c r="I31" s="129"/>
      <c r="J31" s="129"/>
      <c r="K31" s="129"/>
      <c r="L31" s="129"/>
      <c r="M31" s="129"/>
      <c r="N31" s="129"/>
      <c r="O31" s="129"/>
      <c r="P31" s="129"/>
      <c r="Q31" s="129"/>
      <c r="R31" s="129"/>
    </row>
    <row r="32" spans="1:18" x14ac:dyDescent="0.3">
      <c r="A32" t="s">
        <v>699</v>
      </c>
      <c r="B32"/>
      <c r="C32" s="28">
        <f t="shared" si="4"/>
        <v>4809</v>
      </c>
      <c r="D32" s="30">
        <v>4809</v>
      </c>
      <c r="E32" s="30">
        <v>5118</v>
      </c>
      <c r="F32" s="30">
        <v>5028</v>
      </c>
      <c r="G32" s="129"/>
      <c r="H32" s="129"/>
      <c r="I32" s="129"/>
      <c r="J32" s="129"/>
      <c r="K32" s="129"/>
      <c r="L32" s="129"/>
      <c r="M32" s="129"/>
      <c r="N32" s="129"/>
      <c r="O32" s="129"/>
      <c r="P32" s="129"/>
      <c r="Q32" s="129"/>
      <c r="R32" s="129"/>
    </row>
    <row r="33" spans="1:18" x14ac:dyDescent="0.3">
      <c r="A33" t="s">
        <v>700</v>
      </c>
      <c r="B33" t="s">
        <v>678</v>
      </c>
      <c r="C33" s="28">
        <f t="shared" si="4"/>
        <v>86400</v>
      </c>
      <c r="D33" s="30">
        <v>86400</v>
      </c>
      <c r="E33" s="30">
        <v>75840</v>
      </c>
      <c r="F33" s="30">
        <v>66080</v>
      </c>
      <c r="G33" s="129"/>
      <c r="H33" s="129"/>
      <c r="I33" s="129"/>
      <c r="J33" s="129"/>
      <c r="K33" s="129"/>
      <c r="L33" s="129"/>
      <c r="M33" s="129"/>
      <c r="N33" s="129"/>
      <c r="O33" s="129"/>
      <c r="P33" s="129"/>
      <c r="Q33" s="129"/>
      <c r="R33" s="129"/>
    </row>
    <row r="34" spans="1:18" x14ac:dyDescent="0.3">
      <c r="A34" t="s">
        <v>701</v>
      </c>
      <c r="B34" t="s">
        <v>691</v>
      </c>
      <c r="C34" s="28">
        <f t="shared" si="4"/>
        <v>13793</v>
      </c>
      <c r="D34" s="30">
        <v>13793</v>
      </c>
      <c r="E34" s="30">
        <v>23191</v>
      </c>
      <c r="F34" s="30">
        <v>18185</v>
      </c>
      <c r="G34" s="129"/>
      <c r="H34" s="129"/>
      <c r="I34" s="129"/>
      <c r="J34" s="129"/>
      <c r="K34" s="129"/>
      <c r="L34" s="129"/>
      <c r="M34" s="129"/>
      <c r="N34" s="129"/>
      <c r="O34" s="129"/>
      <c r="P34" s="129"/>
      <c r="Q34" s="129"/>
      <c r="R34" s="129"/>
    </row>
    <row r="35" spans="1:18" x14ac:dyDescent="0.3">
      <c r="A35" t="s">
        <v>702</v>
      </c>
      <c r="B35" t="s">
        <v>678</v>
      </c>
      <c r="C35" s="28">
        <f t="shared" si="4"/>
        <v>3798200</v>
      </c>
      <c r="D35" s="30">
        <v>3798200</v>
      </c>
      <c r="E35" s="30">
        <v>3632400</v>
      </c>
      <c r="F35" s="30">
        <v>3912060</v>
      </c>
      <c r="G35" s="129"/>
      <c r="H35" s="129"/>
      <c r="I35" s="129"/>
      <c r="J35" s="129"/>
      <c r="K35" s="129"/>
      <c r="L35" s="129"/>
      <c r="M35" s="129"/>
      <c r="N35" s="129"/>
      <c r="O35" s="129"/>
      <c r="P35" s="129"/>
      <c r="Q35" s="129"/>
      <c r="R35" s="129"/>
    </row>
    <row r="36" spans="1:18" x14ac:dyDescent="0.3">
      <c r="A36" t="s">
        <v>703</v>
      </c>
      <c r="B36" t="s">
        <v>678</v>
      </c>
      <c r="C36" s="28">
        <f t="shared" si="4"/>
        <v>330200</v>
      </c>
      <c r="D36" s="30">
        <v>330200</v>
      </c>
      <c r="E36" s="30">
        <v>305700</v>
      </c>
      <c r="F36" s="30">
        <v>313700</v>
      </c>
      <c r="G36" s="129"/>
      <c r="H36" s="129"/>
      <c r="I36" s="129"/>
      <c r="J36" s="129"/>
      <c r="K36" s="129"/>
      <c r="L36" s="129"/>
      <c r="M36" s="129"/>
      <c r="N36" s="129"/>
      <c r="O36" s="129"/>
      <c r="P36" s="129"/>
      <c r="Q36" s="129"/>
      <c r="R36" s="129"/>
    </row>
    <row r="37" spans="1:18" x14ac:dyDescent="0.3">
      <c r="A37" t="s">
        <v>704</v>
      </c>
      <c r="B37" t="s">
        <v>678</v>
      </c>
      <c r="C37" s="28">
        <f t="shared" si="4"/>
        <v>16519</v>
      </c>
      <c r="D37" s="30">
        <v>16519</v>
      </c>
      <c r="E37" s="30">
        <v>30629</v>
      </c>
      <c r="F37" s="30">
        <v>21705</v>
      </c>
      <c r="G37" s="129"/>
      <c r="H37" s="129"/>
      <c r="I37" s="129"/>
      <c r="J37" s="129"/>
      <c r="K37" s="129"/>
      <c r="L37" s="129"/>
      <c r="M37" s="129"/>
      <c r="N37" s="129"/>
      <c r="O37" s="129"/>
      <c r="P37" s="129"/>
      <c r="Q37" s="129"/>
      <c r="R37" s="129"/>
    </row>
    <row r="38" spans="1:18" x14ac:dyDescent="0.3">
      <c r="A38" t="s">
        <v>705</v>
      </c>
      <c r="B38"/>
      <c r="C38" s="28">
        <f t="shared" si="4"/>
        <v>3022</v>
      </c>
      <c r="D38" s="30">
        <v>3022</v>
      </c>
      <c r="E38" s="30">
        <v>1925.3333333333335</v>
      </c>
      <c r="F38" s="30">
        <v>106294</v>
      </c>
      <c r="G38" s="129"/>
      <c r="H38" s="129"/>
      <c r="I38" s="129"/>
      <c r="J38" s="129"/>
      <c r="K38" s="129"/>
      <c r="L38" s="129"/>
      <c r="M38" s="129"/>
      <c r="N38" s="129"/>
      <c r="O38" s="129"/>
      <c r="P38" s="129"/>
      <c r="Q38" s="129"/>
      <c r="R38" s="129"/>
    </row>
    <row r="39" spans="1:18" x14ac:dyDescent="0.3">
      <c r="A39" t="s">
        <v>706</v>
      </c>
      <c r="B39" t="s">
        <v>685</v>
      </c>
      <c r="C39" s="28">
        <f t="shared" si="4"/>
        <v>9088320</v>
      </c>
      <c r="D39" s="30">
        <v>9088320</v>
      </c>
      <c r="E39" s="30">
        <v>6669760</v>
      </c>
      <c r="F39" s="30">
        <v>7002240</v>
      </c>
      <c r="G39" s="129"/>
      <c r="H39" s="129"/>
      <c r="I39" s="129"/>
      <c r="J39" s="129"/>
      <c r="K39" s="129"/>
      <c r="L39" s="129"/>
      <c r="M39" s="129"/>
      <c r="N39" s="129"/>
      <c r="O39" s="129"/>
      <c r="P39" s="129"/>
      <c r="Q39" s="129"/>
      <c r="R39" s="129"/>
    </row>
    <row r="40" spans="1:18" x14ac:dyDescent="0.3">
      <c r="A40" t="s">
        <v>85</v>
      </c>
      <c r="B40"/>
      <c r="C40" s="28">
        <f t="shared" si="4"/>
        <v>13932389.666666668</v>
      </c>
      <c r="D40" s="30">
        <f>SUM(D24:D39)</f>
        <v>13932389.666666668</v>
      </c>
      <c r="E40" s="30">
        <f t="shared" ref="E40:F40" si="5">SUM(E24:E39)</f>
        <v>11555262.333333332</v>
      </c>
      <c r="F40" s="30">
        <f t="shared" si="5"/>
        <v>12482656</v>
      </c>
      <c r="G40" s="129"/>
      <c r="H40" s="129"/>
      <c r="I40" s="129"/>
      <c r="J40" s="129"/>
      <c r="K40" s="129"/>
      <c r="L40" s="129"/>
      <c r="M40" s="129"/>
      <c r="N40" s="129"/>
      <c r="O40" s="129"/>
      <c r="P40" s="129"/>
      <c r="Q40" s="129"/>
      <c r="R40" s="129"/>
    </row>
    <row r="42" spans="1:18" s="117" customFormat="1" ht="18" x14ac:dyDescent="0.35">
      <c r="A42" s="117" t="s">
        <v>1127</v>
      </c>
      <c r="B42" s="117" t="s">
        <v>707</v>
      </c>
    </row>
    <row r="43" spans="1:18" x14ac:dyDescent="0.3">
      <c r="A43" t="s">
        <v>61</v>
      </c>
      <c r="B43"/>
      <c r="C43">
        <v>2015</v>
      </c>
      <c r="D43">
        <v>2016</v>
      </c>
      <c r="E43">
        <v>2017</v>
      </c>
      <c r="F43">
        <v>2018</v>
      </c>
      <c r="G43" s="129"/>
      <c r="H43" s="129"/>
      <c r="I43" s="129"/>
      <c r="J43" s="129"/>
      <c r="K43" s="129"/>
      <c r="L43" s="129"/>
      <c r="M43" s="129"/>
      <c r="N43" s="129"/>
      <c r="O43" s="129"/>
      <c r="P43" s="129"/>
      <c r="Q43" s="129"/>
      <c r="R43" s="129"/>
    </row>
    <row r="44" spans="1:18" x14ac:dyDescent="0.3">
      <c r="A44" t="s">
        <v>706</v>
      </c>
      <c r="B44" t="s">
        <v>685</v>
      </c>
      <c r="C44" s="28">
        <f>D44</f>
        <v>649.7589199614273</v>
      </c>
      <c r="D44" s="30">
        <v>649.7589199614273</v>
      </c>
      <c r="E44" s="30">
        <v>343.87656702025072</v>
      </c>
      <c r="F44" s="30">
        <v>2388.2352941176468</v>
      </c>
      <c r="G44" s="129"/>
      <c r="H44" s="129"/>
      <c r="I44" s="129"/>
      <c r="J44" s="129"/>
      <c r="K44" s="129"/>
      <c r="L44" s="129"/>
      <c r="M44" s="129"/>
      <c r="N44" s="129"/>
      <c r="O44" s="129"/>
      <c r="P44" s="129"/>
      <c r="Q44" s="129"/>
      <c r="R44" s="129"/>
    </row>
    <row r="45" spans="1:18" x14ac:dyDescent="0.3">
      <c r="A45" t="s">
        <v>706</v>
      </c>
      <c r="B45" t="s">
        <v>685</v>
      </c>
      <c r="C45" s="28">
        <f t="shared" ref="C45:C52" si="6">D45</f>
        <v>1817.0684667309547</v>
      </c>
      <c r="D45" s="30">
        <v>1817.0684667309547</v>
      </c>
      <c r="E45" s="30">
        <v>5774.638379942141</v>
      </c>
      <c r="F45" s="30">
        <v>8050.1446480231443</v>
      </c>
      <c r="G45" s="129"/>
      <c r="H45" s="129"/>
      <c r="I45" s="129"/>
      <c r="J45" s="129"/>
      <c r="K45" s="129"/>
      <c r="L45" s="129"/>
      <c r="M45" s="129"/>
      <c r="N45" s="129"/>
      <c r="O45" s="129"/>
      <c r="P45" s="129"/>
      <c r="Q45" s="129"/>
      <c r="R45" s="129"/>
    </row>
    <row r="46" spans="1:18" x14ac:dyDescent="0.3">
      <c r="A46" t="s">
        <v>706</v>
      </c>
      <c r="B46" t="s">
        <v>685</v>
      </c>
      <c r="C46" s="28">
        <f t="shared" si="6"/>
        <v>94495.756991321119</v>
      </c>
      <c r="D46" s="30">
        <v>94495.756991321119</v>
      </c>
      <c r="E46" s="30">
        <v>70569.720347155264</v>
      </c>
      <c r="F46" s="30">
        <v>62361.909353905496</v>
      </c>
      <c r="G46" s="129"/>
      <c r="H46" s="129"/>
      <c r="I46" s="129"/>
      <c r="J46" s="129"/>
      <c r="K46" s="129"/>
      <c r="L46" s="129"/>
      <c r="M46" s="129"/>
      <c r="N46" s="129"/>
      <c r="O46" s="129"/>
      <c r="P46" s="129"/>
      <c r="Q46" s="129"/>
      <c r="R46" s="129"/>
    </row>
    <row r="47" spans="1:18" x14ac:dyDescent="0.3">
      <c r="A47" t="s">
        <v>708</v>
      </c>
      <c r="B47" t="s">
        <v>678</v>
      </c>
      <c r="C47" s="28">
        <f t="shared" si="6"/>
        <v>635.87270973963359</v>
      </c>
      <c r="D47" s="30">
        <v>635.87270973963359</v>
      </c>
      <c r="E47" s="30">
        <v>2833.3654773384769</v>
      </c>
      <c r="F47" s="30">
        <v>8885.0530376084844</v>
      </c>
      <c r="G47" s="129"/>
      <c r="H47" s="129"/>
      <c r="I47" s="129"/>
      <c r="J47" s="129"/>
      <c r="K47" s="129"/>
      <c r="L47" s="129"/>
      <c r="M47" s="129"/>
      <c r="N47" s="129"/>
      <c r="O47" s="129"/>
      <c r="P47" s="129"/>
      <c r="Q47" s="129"/>
      <c r="R47" s="129"/>
    </row>
    <row r="48" spans="1:18" x14ac:dyDescent="0.3">
      <c r="A48" t="s">
        <v>709</v>
      </c>
      <c r="B48" t="s">
        <v>678</v>
      </c>
      <c r="C48" s="28">
        <f t="shared" si="6"/>
        <v>3640.4050144648027</v>
      </c>
      <c r="D48" s="30">
        <v>3640.4050144648027</v>
      </c>
      <c r="E48" s="30">
        <v>25950.626808100289</v>
      </c>
      <c r="F48" s="30">
        <v>13201.350048216009</v>
      </c>
      <c r="G48" s="129"/>
      <c r="H48" s="129"/>
      <c r="I48" s="129"/>
      <c r="J48" s="129"/>
      <c r="K48" s="129"/>
      <c r="L48" s="129"/>
      <c r="M48" s="129"/>
      <c r="N48" s="129"/>
      <c r="O48" s="129"/>
      <c r="P48" s="129"/>
      <c r="Q48" s="129"/>
      <c r="R48" s="129"/>
    </row>
    <row r="49" spans="1:18" x14ac:dyDescent="0.3">
      <c r="A49" t="s">
        <v>710</v>
      </c>
      <c r="B49"/>
      <c r="C49" s="28">
        <f t="shared" si="6"/>
        <v>13656.509161041467</v>
      </c>
      <c r="D49" s="30">
        <v>13656.509161041467</v>
      </c>
      <c r="E49" s="30">
        <v>12973.384763741564</v>
      </c>
      <c r="F49" s="30">
        <v>14432.304725168755</v>
      </c>
      <c r="G49" s="129"/>
      <c r="H49" s="129"/>
      <c r="I49" s="129"/>
      <c r="J49" s="129"/>
      <c r="K49" s="129"/>
      <c r="L49" s="129"/>
      <c r="M49" s="129"/>
      <c r="N49" s="129"/>
      <c r="O49" s="129"/>
      <c r="P49" s="129"/>
      <c r="Q49" s="129"/>
      <c r="R49" s="129"/>
    </row>
    <row r="50" spans="1:18" x14ac:dyDescent="0.3">
      <c r="A50" t="s">
        <v>710</v>
      </c>
      <c r="B50"/>
      <c r="C50" s="28">
        <f t="shared" si="6"/>
        <v>42743.201542912248</v>
      </c>
      <c r="D50" s="30">
        <v>42743.201542912248</v>
      </c>
      <c r="E50" s="30">
        <v>49425.458052073292</v>
      </c>
      <c r="F50" s="30">
        <v>41234.426229508201</v>
      </c>
      <c r="G50" s="129"/>
      <c r="H50" s="129"/>
      <c r="I50" s="129"/>
      <c r="J50" s="129"/>
      <c r="K50" s="129"/>
      <c r="L50" s="129"/>
      <c r="M50" s="129"/>
      <c r="N50" s="129"/>
      <c r="O50" s="129"/>
      <c r="P50" s="129"/>
      <c r="Q50" s="129"/>
      <c r="R50" s="129"/>
    </row>
    <row r="51" spans="1:18" x14ac:dyDescent="0.3">
      <c r="A51" t="s">
        <v>710</v>
      </c>
      <c r="B51"/>
      <c r="C51" s="28">
        <f t="shared" si="6"/>
        <v>42972.516875602705</v>
      </c>
      <c r="D51" s="30">
        <v>42972.516875602705</v>
      </c>
      <c r="E51" s="30">
        <v>43409.932497589201</v>
      </c>
      <c r="F51" s="30">
        <v>0</v>
      </c>
      <c r="G51" s="129"/>
      <c r="H51" s="129"/>
      <c r="I51" s="129"/>
      <c r="J51" s="129"/>
      <c r="K51" s="129"/>
      <c r="L51" s="129"/>
      <c r="M51" s="129"/>
      <c r="N51" s="129"/>
      <c r="O51" s="129"/>
      <c r="P51" s="129"/>
      <c r="Q51" s="129"/>
      <c r="R51" s="129"/>
    </row>
    <row r="52" spans="1:18" x14ac:dyDescent="0.3">
      <c r="A52" t="s">
        <v>85</v>
      </c>
      <c r="B52"/>
      <c r="C52" s="28">
        <f t="shared" si="6"/>
        <v>157638.57280617167</v>
      </c>
      <c r="D52" s="28">
        <f>SUM(D44:D50)</f>
        <v>157638.57280617167</v>
      </c>
      <c r="E52" s="28">
        <f t="shared" ref="E52:F52" si="7">SUM(E44:E50)</f>
        <v>167871.07039537127</v>
      </c>
      <c r="F52" s="28">
        <f t="shared" si="7"/>
        <v>150553.42333654774</v>
      </c>
      <c r="G52" s="129"/>
      <c r="H52" s="129"/>
      <c r="I52" s="129"/>
      <c r="J52" s="129"/>
      <c r="K52" s="129"/>
      <c r="L52" s="129"/>
      <c r="M52" s="129"/>
      <c r="N52" s="129"/>
      <c r="O52" s="129"/>
      <c r="P52" s="129"/>
      <c r="Q52" s="129"/>
      <c r="R52" s="129"/>
    </row>
  </sheetData>
  <pageMargins left="0.7" right="0.7" top="0.75" bottom="0.75" header="0.3" footer="0.3"/>
  <pageSetup orientation="portrait" r:id="rId1"/>
  <legacy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5">
    <tabColor theme="7" tint="0.39997558519241921"/>
  </sheetPr>
  <dimension ref="A1:F59"/>
  <sheetViews>
    <sheetView workbookViewId="0">
      <selection activeCell="F52" sqref="F52"/>
    </sheetView>
  </sheetViews>
  <sheetFormatPr defaultRowHeight="14.4" x14ac:dyDescent="0.3"/>
  <cols>
    <col min="1" max="1" width="31.33203125" style="135" customWidth="1"/>
    <col min="2" max="3" width="14.6640625" style="133" bestFit="1" customWidth="1"/>
    <col min="4" max="4" width="13.6640625" style="133" bestFit="1" customWidth="1"/>
    <col min="5" max="5" width="12.5546875" style="133" bestFit="1" customWidth="1"/>
    <col min="6" max="6" width="11.109375" style="133" bestFit="1" customWidth="1"/>
    <col min="7" max="16384" width="8.88671875" style="133"/>
  </cols>
  <sheetData>
    <row r="1" spans="1:6" s="137" customFormat="1" ht="25.8" x14ac:dyDescent="0.5">
      <c r="A1" s="192" t="s">
        <v>711</v>
      </c>
      <c r="B1" s="118"/>
      <c r="C1" s="118"/>
      <c r="D1" s="118"/>
      <c r="E1" s="118"/>
      <c r="F1" s="118"/>
    </row>
    <row r="3" spans="1:6" s="138" customFormat="1" ht="18" x14ac:dyDescent="0.35">
      <c r="A3" s="193" t="s">
        <v>26</v>
      </c>
      <c r="B3" s="117"/>
      <c r="C3" s="117"/>
      <c r="D3" s="117"/>
      <c r="E3" s="117"/>
      <c r="F3" s="117"/>
    </row>
    <row r="4" spans="1:6" x14ac:dyDescent="0.3">
      <c r="A4" s="17" t="s">
        <v>670</v>
      </c>
      <c r="B4" s="1" t="s">
        <v>712</v>
      </c>
      <c r="C4" s="1"/>
      <c r="D4" s="1"/>
      <c r="E4" s="1" t="s">
        <v>4</v>
      </c>
      <c r="F4"/>
    </row>
    <row r="5" spans="1:6" x14ac:dyDescent="0.3">
      <c r="A5" s="194"/>
      <c r="B5" s="3" t="s">
        <v>713</v>
      </c>
      <c r="C5" s="3" t="s">
        <v>23</v>
      </c>
      <c r="D5" s="3" t="s">
        <v>24</v>
      </c>
      <c r="E5" s="3" t="s">
        <v>5</v>
      </c>
      <c r="F5"/>
    </row>
    <row r="6" spans="1:6" x14ac:dyDescent="0.3">
      <c r="A6" s="130" t="s">
        <v>58</v>
      </c>
      <c r="B6" t="s">
        <v>10</v>
      </c>
      <c r="C6" s="30">
        <f>'H Built Environment Data'!D7</f>
        <v>1969.0086250116053</v>
      </c>
      <c r="D6" s="3" t="s">
        <v>714</v>
      </c>
      <c r="E6" s="28">
        <f>C6*Propane_EF</f>
        <v>30.567184064568739</v>
      </c>
      <c r="F6"/>
    </row>
    <row r="7" spans="1:6" ht="15" thickBot="1" x14ac:dyDescent="0.35">
      <c r="A7" s="195" t="s">
        <v>58</v>
      </c>
      <c r="B7" s="31" t="s">
        <v>9</v>
      </c>
      <c r="C7" s="32">
        <f>'H Built Environment Data'!C7</f>
        <v>38408227.299999997</v>
      </c>
      <c r="D7" s="33" t="s">
        <v>714</v>
      </c>
      <c r="E7" s="34">
        <f>C7*NG_EF</f>
        <v>209306.94055107818</v>
      </c>
      <c r="F7"/>
    </row>
    <row r="8" spans="1:6" ht="15" thickTop="1" x14ac:dyDescent="0.3">
      <c r="A8" s="17" t="s">
        <v>58</v>
      </c>
      <c r="B8" s="1" t="s">
        <v>85</v>
      </c>
      <c r="C8" s="21"/>
      <c r="D8" s="35"/>
      <c r="E8" s="36">
        <f>SUM(E6:E7)</f>
        <v>209337.50773514275</v>
      </c>
      <c r="F8"/>
    </row>
    <row r="9" spans="1:6" x14ac:dyDescent="0.3">
      <c r="A9" s="130"/>
      <c r="B9"/>
      <c r="C9" s="30"/>
      <c r="D9" s="3"/>
      <c r="E9" s="28"/>
      <c r="F9"/>
    </row>
    <row r="10" spans="1:6" x14ac:dyDescent="0.3">
      <c r="A10" s="17" t="s">
        <v>349</v>
      </c>
      <c r="B10" s="1" t="s">
        <v>9</v>
      </c>
      <c r="C10" s="21">
        <f>'H Built Environment Data'!C8</f>
        <v>14383566.960000001</v>
      </c>
      <c r="D10" s="35" t="s">
        <v>714</v>
      </c>
      <c r="E10" s="36">
        <f>C10*NG_EF</f>
        <v>78383.737189796637</v>
      </c>
      <c r="F10"/>
    </row>
    <row r="11" spans="1:6" s="149" customFormat="1" hidden="1" x14ac:dyDescent="0.3">
      <c r="A11" s="196" t="s">
        <v>59</v>
      </c>
      <c r="B11" s="3" t="s">
        <v>9</v>
      </c>
      <c r="C11" s="242">
        <f>'H Built Environment Data'!C11</f>
        <v>14343580.32</v>
      </c>
      <c r="D11" s="3" t="s">
        <v>714</v>
      </c>
      <c r="E11" s="243">
        <f>C11*NG_EF</f>
        <v>78165.828635570884</v>
      </c>
      <c r="F11" s="3"/>
    </row>
    <row r="12" spans="1:6" s="149" customFormat="1" hidden="1" x14ac:dyDescent="0.3">
      <c r="A12" s="196" t="s">
        <v>358</v>
      </c>
      <c r="B12" s="3" t="s">
        <v>9</v>
      </c>
      <c r="C12" s="242">
        <f>'H Built Environment Data'!C12</f>
        <v>39986.639999999999</v>
      </c>
      <c r="D12" s="3" t="s">
        <v>714</v>
      </c>
      <c r="E12" s="243">
        <f>C12*NG_EF</f>
        <v>217.90855422575999</v>
      </c>
      <c r="F12" s="3"/>
    </row>
    <row r="13" spans="1:6" x14ac:dyDescent="0.3">
      <c r="A13" s="197" t="s">
        <v>350</v>
      </c>
      <c r="B13" s="7" t="s">
        <v>9</v>
      </c>
      <c r="C13" s="24">
        <f>'H Built Environment Data'!C9</f>
        <v>49575879</v>
      </c>
      <c r="D13" s="106" t="s">
        <v>714</v>
      </c>
      <c r="E13" s="107">
        <f>C13*NG_EF</f>
        <v>270165.43819038599</v>
      </c>
      <c r="F13"/>
    </row>
    <row r="14" spans="1:6" x14ac:dyDescent="0.3">
      <c r="A14" s="197" t="s">
        <v>350</v>
      </c>
      <c r="B14" s="14" t="s">
        <v>10</v>
      </c>
      <c r="C14" s="24">
        <f>'H Built Environment Data'!D9</f>
        <v>184478.60962566844</v>
      </c>
      <c r="D14" s="106" t="s">
        <v>714</v>
      </c>
      <c r="E14" s="28">
        <f>C14*Propane_EF</f>
        <v>2863.8734969331549</v>
      </c>
      <c r="F14" s="104"/>
    </row>
    <row r="15" spans="1:6" ht="15" thickBot="1" x14ac:dyDescent="0.35">
      <c r="A15" s="195" t="s">
        <v>350</v>
      </c>
      <c r="B15" s="43" t="s">
        <v>993</v>
      </c>
      <c r="C15" s="32">
        <f>'H Built Environment Data'!E9</f>
        <v>20111</v>
      </c>
      <c r="D15" s="33" t="s">
        <v>44</v>
      </c>
      <c r="E15" s="34">
        <f>C15*FuelOil_EF</f>
        <v>221.14397487000002</v>
      </c>
      <c r="F15" s="104"/>
    </row>
    <row r="16" spans="1:6" s="140" customFormat="1" ht="15.6" thickTop="1" thickBot="1" x14ac:dyDescent="0.35">
      <c r="A16" s="266" t="s">
        <v>350</v>
      </c>
      <c r="B16" s="103" t="s">
        <v>85</v>
      </c>
      <c r="C16" s="267"/>
      <c r="D16" s="268"/>
      <c r="E16" s="269">
        <f>SUM(E13:E15)</f>
        <v>273250.45566218911</v>
      </c>
      <c r="F16" s="1"/>
    </row>
    <row r="17" spans="1:6" ht="15" thickTop="1" x14ac:dyDescent="0.3">
      <c r="A17" s="17" t="s">
        <v>351</v>
      </c>
      <c r="B17" s="1" t="s">
        <v>85</v>
      </c>
      <c r="C17" s="21">
        <f>'H Built Environment Data'!C10</f>
        <v>63959445.960000001</v>
      </c>
      <c r="D17" s="35" t="s">
        <v>714</v>
      </c>
      <c r="E17" s="36">
        <f>E10+E16</f>
        <v>351634.19285198575</v>
      </c>
      <c r="F17"/>
    </row>
    <row r="18" spans="1:6" ht="15" thickBot="1" x14ac:dyDescent="0.35">
      <c r="A18" s="195"/>
      <c r="B18" s="31"/>
      <c r="C18" s="31"/>
      <c r="D18" s="31"/>
      <c r="E18" s="31"/>
      <c r="F18"/>
    </row>
    <row r="19" spans="1:6" ht="15" thickTop="1" x14ac:dyDescent="0.3">
      <c r="A19" s="17" t="s">
        <v>85</v>
      </c>
      <c r="B19" s="1" t="s">
        <v>85</v>
      </c>
      <c r="C19" s="1"/>
      <c r="D19" s="1"/>
      <c r="E19" s="36">
        <f>SUM(E8,E17)</f>
        <v>560971.70058712852</v>
      </c>
      <c r="F19"/>
    </row>
    <row r="21" spans="1:6" s="138" customFormat="1" ht="18" x14ac:dyDescent="0.35">
      <c r="A21" s="193" t="s">
        <v>715</v>
      </c>
      <c r="B21" s="117"/>
      <c r="C21" s="117"/>
      <c r="D21" s="117"/>
      <c r="E21" s="117"/>
      <c r="F21" s="117"/>
    </row>
    <row r="22" spans="1:6" x14ac:dyDescent="0.3">
      <c r="A22" s="17" t="s">
        <v>670</v>
      </c>
      <c r="B22" s="1" t="s">
        <v>712</v>
      </c>
      <c r="C22" s="1"/>
      <c r="D22" s="1" t="s">
        <v>4</v>
      </c>
      <c r="E22"/>
      <c r="F22"/>
    </row>
    <row r="23" spans="1:6" x14ac:dyDescent="0.3">
      <c r="A23" s="130"/>
      <c r="B23" s="3" t="s">
        <v>23</v>
      </c>
      <c r="C23" s="3" t="s">
        <v>24</v>
      </c>
      <c r="D23" s="3" t="s">
        <v>5</v>
      </c>
      <c r="E23"/>
      <c r="F23"/>
    </row>
    <row r="24" spans="1:6" x14ac:dyDescent="0.3">
      <c r="A24" s="130" t="s">
        <v>58</v>
      </c>
      <c r="B24" s="30">
        <f>'H Built Environment Data'!B7</f>
        <v>327772820.71999997</v>
      </c>
      <c r="C24" s="3" t="s">
        <v>25</v>
      </c>
      <c r="D24" s="28">
        <f>B24*Grid_EF</f>
        <v>211518.27336294393</v>
      </c>
      <c r="E24"/>
      <c r="F24"/>
    </row>
    <row r="25" spans="1:6" x14ac:dyDescent="0.3">
      <c r="A25" s="130"/>
      <c r="B25" s="30"/>
      <c r="C25"/>
      <c r="D25"/>
      <c r="E25"/>
      <c r="F25"/>
    </row>
    <row r="26" spans="1:6" x14ac:dyDescent="0.3">
      <c r="A26" s="130" t="s">
        <v>349</v>
      </c>
      <c r="B26" s="30">
        <f>'H Built Environment Data'!B8</f>
        <v>400959510.51999998</v>
      </c>
      <c r="C26" s="3" t="s">
        <v>25</v>
      </c>
      <c r="D26" s="28">
        <f>B26*Grid_EF</f>
        <v>258747.0894241434</v>
      </c>
      <c r="E26"/>
      <c r="F26"/>
    </row>
    <row r="27" spans="1:6" s="149" customFormat="1" hidden="1" x14ac:dyDescent="0.3">
      <c r="A27" s="196" t="s">
        <v>59</v>
      </c>
      <c r="B27" s="242">
        <f>'H Built Environment Data'!B11</f>
        <v>371304895.72000003</v>
      </c>
      <c r="C27" s="3" t="s">
        <v>25</v>
      </c>
      <c r="D27" s="243">
        <f>B27*Grid_EF</f>
        <v>239610.38093818421</v>
      </c>
      <c r="E27" s="3"/>
      <c r="F27" s="3"/>
    </row>
    <row r="28" spans="1:6" s="149" customFormat="1" hidden="1" x14ac:dyDescent="0.3">
      <c r="A28" s="196" t="s">
        <v>358</v>
      </c>
      <c r="B28" s="242">
        <f>'H Built Environment Data'!B12</f>
        <v>29654614.800000001</v>
      </c>
      <c r="C28" s="3" t="s">
        <v>25</v>
      </c>
      <c r="D28" s="243">
        <f>B28*Grid_EF</f>
        <v>19136.708485959189</v>
      </c>
      <c r="E28" s="3"/>
      <c r="F28" s="3"/>
    </row>
    <row r="29" spans="1:6" ht="15" thickBot="1" x14ac:dyDescent="0.35">
      <c r="A29" s="195" t="s">
        <v>350</v>
      </c>
      <c r="B29" s="32">
        <f>'H Built Environment Data'!B9</f>
        <v>530861576</v>
      </c>
      <c r="C29" s="33" t="s">
        <v>25</v>
      </c>
      <c r="D29" s="34">
        <f>B29*Grid_EF</f>
        <v>342575.45730483974</v>
      </c>
      <c r="E29"/>
      <c r="F29"/>
    </row>
    <row r="30" spans="1:6" ht="15" thickTop="1" x14ac:dyDescent="0.3">
      <c r="A30" s="130" t="s">
        <v>351</v>
      </c>
      <c r="B30" s="30">
        <f>'H Built Environment Data'!B10</f>
        <v>931821086.51999998</v>
      </c>
      <c r="C30" s="3" t="s">
        <v>25</v>
      </c>
      <c r="D30" s="28">
        <f>SUM(D26,D29)</f>
        <v>601322.54672898317</v>
      </c>
      <c r="E30"/>
      <c r="F30"/>
    </row>
    <row r="31" spans="1:6" ht="15" thickBot="1" x14ac:dyDescent="0.35">
      <c r="A31" s="195"/>
      <c r="B31" s="31"/>
      <c r="C31" s="31"/>
      <c r="D31" s="31"/>
      <c r="E31"/>
      <c r="F31"/>
    </row>
    <row r="32" spans="1:6" ht="15" thickTop="1" x14ac:dyDescent="0.3">
      <c r="A32" s="17" t="s">
        <v>85</v>
      </c>
      <c r="B32" s="28">
        <f>SUM(B24,B30)</f>
        <v>1259593907.24</v>
      </c>
      <c r="C32" s="3" t="s">
        <v>25</v>
      </c>
      <c r="D32" s="28">
        <f>SUM(D24,D30)</f>
        <v>812840.82009192707</v>
      </c>
      <c r="E32"/>
      <c r="F32"/>
    </row>
    <row r="34" spans="1:6" s="138" customFormat="1" ht="18" x14ac:dyDescent="0.35">
      <c r="A34" s="193" t="s">
        <v>716</v>
      </c>
      <c r="B34" s="117"/>
      <c r="C34" s="117"/>
      <c r="D34" s="117"/>
      <c r="E34" s="117"/>
      <c r="F34" s="117"/>
    </row>
    <row r="35" spans="1:6" x14ac:dyDescent="0.3">
      <c r="A35" s="206" t="s">
        <v>717</v>
      </c>
      <c r="B35" s="202">
        <f>HLOOKUP(ReportingYear,'H Built Environment Data'!82:83,2)</f>
        <v>4.5119556544559465E-2</v>
      </c>
      <c r="C35" s="207"/>
      <c r="D35" s="207"/>
      <c r="E35" s="207"/>
      <c r="F35" s="207"/>
    </row>
    <row r="36" spans="1:6" x14ac:dyDescent="0.3">
      <c r="A36" s="207"/>
      <c r="B36" s="207"/>
      <c r="C36" s="207"/>
      <c r="D36" s="207"/>
      <c r="E36" s="207"/>
      <c r="F36" s="207"/>
    </row>
    <row r="37" spans="1:6" x14ac:dyDescent="0.3">
      <c r="A37" s="206" t="s">
        <v>670</v>
      </c>
      <c r="B37" s="131" t="s">
        <v>712</v>
      </c>
      <c r="C37" s="207"/>
      <c r="D37" s="131" t="s">
        <v>718</v>
      </c>
      <c r="E37" s="131" t="s">
        <v>4</v>
      </c>
      <c r="F37" s="207"/>
    </row>
    <row r="38" spans="1:6" x14ac:dyDescent="0.3">
      <c r="A38" s="206"/>
      <c r="B38" s="207" t="s">
        <v>23</v>
      </c>
      <c r="C38" s="207" t="s">
        <v>24</v>
      </c>
      <c r="D38" s="200" t="s">
        <v>25</v>
      </c>
      <c r="E38" s="200" t="s">
        <v>719</v>
      </c>
      <c r="F38" s="207"/>
    </row>
    <row r="39" spans="1:6" x14ac:dyDescent="0.3">
      <c r="A39" s="198" t="s">
        <v>58</v>
      </c>
      <c r="B39" s="199">
        <f>B24</f>
        <v>327772820.71999997</v>
      </c>
      <c r="C39" s="200" t="s">
        <v>25</v>
      </c>
      <c r="D39" s="199">
        <f>B39*Grid_LossFactor</f>
        <v>14788964.318245791</v>
      </c>
      <c r="E39" s="199">
        <f>D39*Grid_EF</f>
        <v>9543.6106952069349</v>
      </c>
      <c r="F39" s="207"/>
    </row>
    <row r="40" spans="1:6" x14ac:dyDescent="0.3">
      <c r="A40" s="201" t="s">
        <v>349</v>
      </c>
      <c r="B40" s="199">
        <f>B26</f>
        <v>400959510.51999998</v>
      </c>
      <c r="C40" s="200" t="s">
        <v>25</v>
      </c>
      <c r="D40" s="199">
        <f>B40*Grid_LossFactor</f>
        <v>18091115.306986026</v>
      </c>
      <c r="E40" s="199">
        <f>D40*Grid_EF</f>
        <v>11674.553932012823</v>
      </c>
      <c r="F40" s="207"/>
    </row>
    <row r="41" spans="1:6" s="149" customFormat="1" hidden="1" x14ac:dyDescent="0.3">
      <c r="A41" s="204" t="s">
        <v>59</v>
      </c>
      <c r="B41" s="244">
        <f>B27</f>
        <v>371304895.72000003</v>
      </c>
      <c r="C41" s="200" t="s">
        <v>25</v>
      </c>
      <c r="D41" s="244">
        <f>B41*Grid_LossFactor</f>
        <v>16753112.237710297</v>
      </c>
      <c r="E41" s="244">
        <f>D41*Grid_EF</f>
        <v>10811.114131403836</v>
      </c>
      <c r="F41" s="245"/>
    </row>
    <row r="42" spans="1:6" s="149" customFormat="1" hidden="1" x14ac:dyDescent="0.3">
      <c r="A42" s="204" t="s">
        <v>358</v>
      </c>
      <c r="B42" s="244">
        <f>B28</f>
        <v>29654614.800000001</v>
      </c>
      <c r="C42" s="200" t="s">
        <v>25</v>
      </c>
      <c r="D42" s="244">
        <f>B42*Grid_LossFactor</f>
        <v>1338003.0692757301</v>
      </c>
      <c r="E42" s="244">
        <f>D42*Grid_EF</f>
        <v>863.43980060898662</v>
      </c>
      <c r="F42" s="245"/>
    </row>
    <row r="43" spans="1:6" ht="15" thickBot="1" x14ac:dyDescent="0.35">
      <c r="A43" s="205" t="s">
        <v>350</v>
      </c>
      <c r="B43" s="199">
        <f>B29</f>
        <v>530861576</v>
      </c>
      <c r="C43" s="200" t="s">
        <v>25</v>
      </c>
      <c r="D43" s="199">
        <f>B43*Grid_LossFactor</f>
        <v>23952238.895665951</v>
      </c>
      <c r="E43" s="199">
        <f>D43*Grid_EF</f>
        <v>15456.852716644033</v>
      </c>
      <c r="F43" s="203"/>
    </row>
    <row r="44" spans="1:6" ht="15" thickTop="1" x14ac:dyDescent="0.3">
      <c r="A44" s="208" t="s">
        <v>85</v>
      </c>
      <c r="B44" s="199">
        <f>SUM(B39:B43)</f>
        <v>1660553417.76</v>
      </c>
      <c r="C44" s="207"/>
      <c r="D44" s="199">
        <f>SUM(D39:D43)</f>
        <v>74923433.827883795</v>
      </c>
      <c r="E44" s="199">
        <f>SUM(E39:E43)</f>
        <v>48349.571275876609</v>
      </c>
      <c r="F44" s="203"/>
    </row>
    <row r="46" spans="1:6" s="138" customFormat="1" ht="18" x14ac:dyDescent="0.35">
      <c r="A46" s="193" t="s">
        <v>720</v>
      </c>
      <c r="B46" s="117"/>
      <c r="C46" s="117"/>
      <c r="D46" s="117"/>
      <c r="E46" s="117"/>
      <c r="F46" s="117"/>
    </row>
    <row r="47" spans="1:6" x14ac:dyDescent="0.3">
      <c r="A47" s="130" t="s">
        <v>721</v>
      </c>
      <c r="B47"/>
      <c r="C47"/>
      <c r="D47"/>
      <c r="E47"/>
      <c r="F47"/>
    </row>
    <row r="48" spans="1:6" x14ac:dyDescent="0.3">
      <c r="A48" s="17" t="s">
        <v>713</v>
      </c>
      <c r="B48" s="1" t="s">
        <v>712</v>
      </c>
      <c r="C48" s="1"/>
      <c r="D48" s="1" t="s">
        <v>722</v>
      </c>
      <c r="E48" s="1"/>
      <c r="F48" s="1" t="s">
        <v>4</v>
      </c>
    </row>
    <row r="49" spans="1:6" x14ac:dyDescent="0.3">
      <c r="A49" s="194"/>
      <c r="B49" s="3" t="s">
        <v>723</v>
      </c>
      <c r="C49" s="3" t="s">
        <v>24</v>
      </c>
      <c r="D49" s="3" t="s">
        <v>724</v>
      </c>
      <c r="E49" s="3" t="s">
        <v>24</v>
      </c>
      <c r="F49" s="3" t="s">
        <v>5</v>
      </c>
    </row>
    <row r="50" spans="1:6" x14ac:dyDescent="0.3">
      <c r="A50" s="130" t="s">
        <v>1353</v>
      </c>
      <c r="B50" s="28">
        <f>SUM(C7,C17)</f>
        <v>102367673.25999999</v>
      </c>
      <c r="C50" t="s">
        <v>714</v>
      </c>
      <c r="D50" s="28">
        <f>B50*Fug_Methane_Local</f>
        <v>307103.01977999997</v>
      </c>
      <c r="E50" t="s">
        <v>714</v>
      </c>
      <c r="F50" s="28">
        <f>D50*Fug_Methane_EF</f>
        <v>18208.338138208186</v>
      </c>
    </row>
    <row r="51" spans="1:6" x14ac:dyDescent="0.3">
      <c r="A51" s="130" t="s">
        <v>1354</v>
      </c>
      <c r="B51" s="28">
        <f>B50</f>
        <v>102367673.25999999</v>
      </c>
      <c r="C51" t="s">
        <v>714</v>
      </c>
      <c r="D51" s="28"/>
      <c r="E51"/>
      <c r="F51" s="28">
        <f>B51*Upstream_NG_EF</f>
        <v>129047.06685750707</v>
      </c>
    </row>
    <row r="52" spans="1:6" ht="15" thickBot="1" x14ac:dyDescent="0.35">
      <c r="A52" s="195" t="s">
        <v>1355</v>
      </c>
      <c r="B52" s="34">
        <f>C6+C14</f>
        <v>186447.61825068004</v>
      </c>
      <c r="C52" s="31" t="s">
        <v>714</v>
      </c>
      <c r="D52" s="31"/>
      <c r="E52" s="31"/>
      <c r="F52" s="34">
        <f>B52*Upstream_Propane_EF</f>
        <v>162151.32805370758</v>
      </c>
    </row>
    <row r="53" spans="1:6" ht="15" thickTop="1" x14ac:dyDescent="0.3">
      <c r="A53" s="299" t="s">
        <v>1356</v>
      </c>
      <c r="B53" s="107">
        <f>C15</f>
        <v>20111</v>
      </c>
      <c r="C53" s="14" t="s">
        <v>754</v>
      </c>
      <c r="D53" s="7"/>
      <c r="E53" s="7"/>
      <c r="F53" s="107">
        <f>B53*Upstream_FuelOil_EF</f>
        <v>40.755246212121214</v>
      </c>
    </row>
    <row r="54" spans="1:6" x14ac:dyDescent="0.3">
      <c r="A54" s="17" t="s">
        <v>85</v>
      </c>
      <c r="B54"/>
      <c r="C54"/>
      <c r="D54"/>
      <c r="E54"/>
      <c r="F54" s="28">
        <f>SUM(F51:F52)</f>
        <v>291198.39491121465</v>
      </c>
    </row>
    <row r="56" spans="1:6" s="138" customFormat="1" ht="18" x14ac:dyDescent="0.35">
      <c r="A56" s="193" t="s">
        <v>725</v>
      </c>
      <c r="B56" s="117"/>
      <c r="C56" s="117"/>
      <c r="D56" s="117"/>
      <c r="E56" s="117"/>
      <c r="F56" s="117"/>
    </row>
    <row r="57" spans="1:6" x14ac:dyDescent="0.3">
      <c r="A57" s="17" t="s">
        <v>726</v>
      </c>
      <c r="B57" s="1" t="s">
        <v>712</v>
      </c>
      <c r="C57" s="1"/>
      <c r="D57" s="1"/>
      <c r="E57" s="1" t="s">
        <v>4</v>
      </c>
      <c r="F57"/>
    </row>
    <row r="58" spans="1:6" x14ac:dyDescent="0.3">
      <c r="A58" s="194"/>
      <c r="B58" s="3" t="s">
        <v>713</v>
      </c>
      <c r="C58" s="3" t="s">
        <v>23</v>
      </c>
      <c r="D58" s="3" t="s">
        <v>24</v>
      </c>
      <c r="E58" s="3" t="s">
        <v>5</v>
      </c>
      <c r="F58"/>
    </row>
    <row r="59" spans="1:6" x14ac:dyDescent="0.3">
      <c r="A59" s="130" t="s">
        <v>727</v>
      </c>
      <c r="B59" t="s">
        <v>28</v>
      </c>
      <c r="C59" s="30">
        <f>HLOOKUP(ReportingYear,'H Built Environment Data'!88:89,2)</f>
        <v>271735317</v>
      </c>
      <c r="D59" t="s">
        <v>25</v>
      </c>
      <c r="E59" s="28">
        <f>HLOOKUP(ReportingYear,'H Built Environment Data'!93:95,3)</f>
        <v>42740.861892569999</v>
      </c>
      <c r="F59"/>
    </row>
  </sheetData>
  <pageMargins left="0.7" right="0.7" top="0.75" bottom="0.75" header="0.3" footer="0.3"/>
  <pageSetup orientation="portrait" horizontalDpi="300" verticalDpi="30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8">
    <tabColor theme="7" tint="0.39997558519241921"/>
  </sheetPr>
  <dimension ref="A1:Y62"/>
  <sheetViews>
    <sheetView topLeftCell="B10" workbookViewId="0">
      <selection activeCell="J17" sqref="J17"/>
    </sheetView>
  </sheetViews>
  <sheetFormatPr defaultRowHeight="14.4" x14ac:dyDescent="0.3"/>
  <cols>
    <col min="1" max="1" width="21.6640625" style="133" bestFit="1" customWidth="1"/>
    <col min="2" max="2" width="20.5546875" style="133" customWidth="1"/>
    <col min="3" max="3" width="14.6640625" style="133" bestFit="1" customWidth="1"/>
    <col min="4" max="4" width="11.33203125" style="133" bestFit="1" customWidth="1"/>
    <col min="5" max="5" width="11.109375" style="133" bestFit="1" customWidth="1"/>
    <col min="6" max="6" width="13.6640625" style="133" bestFit="1" customWidth="1"/>
    <col min="7" max="7" width="20.21875" style="133" bestFit="1" customWidth="1"/>
    <col min="8" max="8" width="11.77734375" style="133" customWidth="1"/>
    <col min="9" max="9" width="18.77734375" style="133" bestFit="1" customWidth="1"/>
    <col min="10" max="10" width="13.21875" style="133" bestFit="1" customWidth="1"/>
    <col min="11" max="11" width="16.44140625" style="133" customWidth="1"/>
    <col min="12" max="12" width="11" style="133" customWidth="1"/>
    <col min="13" max="13" width="10.44140625" style="133" customWidth="1"/>
    <col min="14" max="14" width="11" style="133" customWidth="1"/>
    <col min="15" max="15" width="14.88671875" style="133" customWidth="1"/>
    <col min="16" max="16" width="17.5546875" style="133" bestFit="1" customWidth="1"/>
    <col min="17" max="18" width="8.88671875" style="133"/>
    <col min="19" max="19" width="13.88671875" style="133" bestFit="1" customWidth="1"/>
    <col min="20" max="21" width="8.88671875" style="133"/>
    <col min="22" max="22" width="10.109375" style="133" bestFit="1" customWidth="1"/>
    <col min="23" max="24" width="9.109375" style="133" bestFit="1" customWidth="1"/>
    <col min="25" max="25" width="10.109375" style="133" bestFit="1" customWidth="1"/>
    <col min="26" max="16384" width="8.88671875" style="133"/>
  </cols>
  <sheetData>
    <row r="1" spans="1:20" s="137" customFormat="1" ht="25.8" x14ac:dyDescent="0.5">
      <c r="A1" s="118" t="s">
        <v>728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118"/>
      <c r="S1" s="118"/>
    </row>
    <row r="3" spans="1:20" s="138" customFormat="1" ht="18" x14ac:dyDescent="0.35">
      <c r="A3" s="117" t="s">
        <v>729</v>
      </c>
      <c r="B3" s="117"/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  <c r="P3" s="117"/>
      <c r="Q3" s="117"/>
      <c r="R3" s="117"/>
      <c r="S3" s="117"/>
    </row>
    <row r="4" spans="1:20" s="143" customFormat="1" x14ac:dyDescent="0.3">
      <c r="A4" s="1" t="s">
        <v>22</v>
      </c>
      <c r="B4" s="1" t="s">
        <v>39</v>
      </c>
      <c r="C4" s="1" t="s">
        <v>712</v>
      </c>
      <c r="D4" s="1"/>
      <c r="E4" s="1" t="s">
        <v>731</v>
      </c>
      <c r="F4" s="1" t="s">
        <v>1128</v>
      </c>
      <c r="G4" s="1" t="s">
        <v>1129</v>
      </c>
      <c r="H4" s="1" t="s">
        <v>1130</v>
      </c>
      <c r="I4" s="1" t="s">
        <v>1132</v>
      </c>
      <c r="J4" s="1" t="s">
        <v>1134</v>
      </c>
      <c r="K4" s="1" t="s">
        <v>1138</v>
      </c>
      <c r="L4" s="131" t="s">
        <v>1131</v>
      </c>
      <c r="M4" s="1" t="s">
        <v>1133</v>
      </c>
      <c r="N4" s="1" t="s">
        <v>1135</v>
      </c>
      <c r="O4" s="131" t="s">
        <v>1139</v>
      </c>
      <c r="P4" s="131" t="s">
        <v>1140</v>
      </c>
      <c r="Q4" s="131" t="s">
        <v>1141</v>
      </c>
      <c r="R4" s="131" t="s">
        <v>1142</v>
      </c>
      <c r="S4" s="131" t="s">
        <v>873</v>
      </c>
    </row>
    <row r="5" spans="1:20" s="141" customFormat="1" x14ac:dyDescent="0.3">
      <c r="A5"/>
      <c r="B5"/>
      <c r="C5" s="3" t="s">
        <v>23</v>
      </c>
      <c r="D5" s="3" t="s">
        <v>24</v>
      </c>
      <c r="E5"/>
      <c r="F5" s="3"/>
      <c r="G5" s="3"/>
      <c r="H5" s="3" t="s">
        <v>55</v>
      </c>
      <c r="I5" s="3" t="s">
        <v>751</v>
      </c>
      <c r="J5" s="3" t="s">
        <v>752</v>
      </c>
      <c r="K5" s="3" t="s">
        <v>5</v>
      </c>
      <c r="L5" s="200" t="s">
        <v>55</v>
      </c>
      <c r="M5" s="3" t="s">
        <v>751</v>
      </c>
      <c r="N5" s="3" t="s">
        <v>752</v>
      </c>
      <c r="O5" s="200" t="s">
        <v>5</v>
      </c>
      <c r="P5" s="200" t="s">
        <v>55</v>
      </c>
      <c r="Q5" s="200" t="s">
        <v>751</v>
      </c>
      <c r="R5" s="200" t="s">
        <v>752</v>
      </c>
      <c r="S5" s="200" t="s">
        <v>5</v>
      </c>
    </row>
    <row r="6" spans="1:20" s="141" customFormat="1" x14ac:dyDescent="0.3">
      <c r="A6" t="s">
        <v>51</v>
      </c>
      <c r="B6" s="7" t="s">
        <v>732</v>
      </c>
      <c r="C6" s="30">
        <f>'I Transportation Data'!C15*HLOOKUP(ReportingYear,'I Transportation Data'!$6:$9,4)</f>
        <v>23027137.047926821</v>
      </c>
      <c r="D6" t="s">
        <v>13</v>
      </c>
      <c r="E6" s="18">
        <f>'E Transportation Factor Set'!C9</f>
        <v>1</v>
      </c>
      <c r="F6" s="28">
        <f>C6*E6</f>
        <v>23027137.047926821</v>
      </c>
      <c r="G6" s="28">
        <f>C6-F6</f>
        <v>0</v>
      </c>
      <c r="H6" s="29">
        <f>F6*'E Transportation Factor Set'!G9</f>
        <v>4598.7937711036666</v>
      </c>
      <c r="I6" s="29">
        <f>F6*'E Transportation Factor Set'!G23</f>
        <v>1.5474236096206822</v>
      </c>
      <c r="J6" s="29">
        <f>F6*'E Transportation Factor Set'!G37</f>
        <v>0.15888724563069506</v>
      </c>
      <c r="K6" s="28">
        <f>H6+I6*CH4_GWP+J6*N2O_GWP</f>
        <v>4684.2267522651791</v>
      </c>
      <c r="L6" s="199">
        <f>G6*'E Transportation Factor Set'!H9</f>
        <v>0</v>
      </c>
      <c r="M6" s="29">
        <f>G6*'E Transportation Factor Set'!H23</f>
        <v>0</v>
      </c>
      <c r="N6" s="28">
        <f>G6*'E Transportation Factor Set'!H37</f>
        <v>0</v>
      </c>
      <c r="O6" s="199">
        <f>L6+M6*CH4_GWP+N6*N2O_GWP</f>
        <v>0</v>
      </c>
      <c r="P6" s="199">
        <f>SUM(H6,L6)</f>
        <v>4598.7937711036666</v>
      </c>
      <c r="Q6" s="199">
        <f t="shared" ref="Q6:R6" si="0">SUM(I6,M6)</f>
        <v>1.5474236096206822</v>
      </c>
      <c r="R6" s="199">
        <f t="shared" si="0"/>
        <v>0.15888724563069506</v>
      </c>
      <c r="S6" s="199">
        <f>K6+O6</f>
        <v>4684.2267522651791</v>
      </c>
      <c r="T6" s="218"/>
    </row>
    <row r="7" spans="1:20" s="141" customFormat="1" x14ac:dyDescent="0.3">
      <c r="A7" t="s">
        <v>51</v>
      </c>
      <c r="B7" s="7" t="s">
        <v>199</v>
      </c>
      <c r="C7" s="30">
        <f>'I Transportation Data'!C16*HLOOKUP(ReportingYear,'I Transportation Data'!$6:$9,4)</f>
        <v>386196358.37628549</v>
      </c>
      <c r="D7" t="s">
        <v>13</v>
      </c>
      <c r="E7" s="18">
        <f>'E Transportation Factor Set'!C10</f>
        <v>0.98499999999999999</v>
      </c>
      <c r="F7" s="28">
        <f t="shared" ref="F7:F8" si="1">C7*E7</f>
        <v>380403413.00064123</v>
      </c>
      <c r="G7" s="28">
        <f t="shared" ref="G7:G8" si="2">C7-F7</f>
        <v>5792945.3756442666</v>
      </c>
      <c r="H7" s="29">
        <f>F7*'E Transportation Factor Set'!G10</f>
        <v>137011.27424596346</v>
      </c>
      <c r="I7" s="29">
        <f>F7*'E Transportation Factor Set'!G24</f>
        <v>6.5809790449110928</v>
      </c>
      <c r="J7" s="29">
        <f>F7*'E Transportation Factor Set'!G38</f>
        <v>1.3694522868023082</v>
      </c>
      <c r="K7" s="28">
        <f>H7+I7*CH4_GWP+J7*N2O_GWP</f>
        <v>137558.44651522356</v>
      </c>
      <c r="L7" s="199">
        <f>G7*'E Transportation Factor Set'!H10</f>
        <v>2426.2891725274617</v>
      </c>
      <c r="M7" s="29">
        <f>G7*'E Transportation Factor Set'!H24</f>
        <v>2.8964726878221336E-3</v>
      </c>
      <c r="N7" s="28">
        <f>G7*'E Transportation Factor Set'!H38</f>
        <v>5.7929453756442673E-3</v>
      </c>
      <c r="O7" s="199">
        <f>L7+M7*CH4_GWP+N7*N2O_GWP</f>
        <v>2427.9054042872667</v>
      </c>
      <c r="P7" s="199">
        <f t="shared" ref="P7:P8" si="3">SUM(H7,L7)</f>
        <v>139437.56341849093</v>
      </c>
      <c r="Q7" s="199">
        <f t="shared" ref="Q7:Q8" si="4">SUM(I7,M7)</f>
        <v>6.5838755175989148</v>
      </c>
      <c r="R7" s="199">
        <f t="shared" ref="R7:R8" si="5">SUM(J7,N7)</f>
        <v>1.3752452321779525</v>
      </c>
      <c r="S7" s="199">
        <f>K7+O7</f>
        <v>139986.35191951084</v>
      </c>
      <c r="T7" s="218"/>
    </row>
    <row r="8" spans="1:20" s="141" customFormat="1" ht="15" thickBot="1" x14ac:dyDescent="0.35">
      <c r="A8" s="31" t="s">
        <v>51</v>
      </c>
      <c r="B8" s="31" t="s">
        <v>733</v>
      </c>
      <c r="C8" s="32">
        <f>'I Transportation Data'!C17*HLOOKUP(ReportingYear,'I Transportation Data'!$6:$9,4)</f>
        <v>336099193.19129246</v>
      </c>
      <c r="D8" s="31" t="s">
        <v>13</v>
      </c>
      <c r="E8" s="211">
        <f>'E Transportation Factor Set'!C11</f>
        <v>0.62</v>
      </c>
      <c r="F8" s="34">
        <f t="shared" si="1"/>
        <v>208381499.77860132</v>
      </c>
      <c r="G8" s="34">
        <f t="shared" si="2"/>
        <v>127717693.41269115</v>
      </c>
      <c r="H8" s="210">
        <f>F8*'E Transportation Factor Set'!G11</f>
        <v>102395.41773687261</v>
      </c>
      <c r="I8" s="210">
        <f>F8*'E Transportation Factor Set'!G25</f>
        <v>3.396618446391201</v>
      </c>
      <c r="J8" s="210">
        <f>F8*'E Transportation Factor Set'!G39</f>
        <v>1.3753178985387686</v>
      </c>
      <c r="K8" s="34">
        <f>H8+I8*CH4_GWP+J8*N2O_GWP</f>
        <v>102854.98229648433</v>
      </c>
      <c r="L8" s="215">
        <f>G8*'E Transportation Factor Set'!H11</f>
        <v>72979.965782849307</v>
      </c>
      <c r="M8" s="210">
        <f>G8*'E Transportation Factor Set'!H25</f>
        <v>0.12771769341269115</v>
      </c>
      <c r="N8" s="34">
        <f>G8*'E Transportation Factor Set'!H39</f>
        <v>0.19157654011903671</v>
      </c>
      <c r="O8" s="215">
        <f>L8+M8*CH4_GWP+N8*N2O_GWP</f>
        <v>73034.309661396401</v>
      </c>
      <c r="P8" s="215">
        <f t="shared" si="3"/>
        <v>175375.38351972192</v>
      </c>
      <c r="Q8" s="215">
        <f t="shared" si="4"/>
        <v>3.5243361398038924</v>
      </c>
      <c r="R8" s="215">
        <f t="shared" si="5"/>
        <v>1.5668944386578054</v>
      </c>
      <c r="S8" s="215">
        <f>K8+O8</f>
        <v>175889.29195788072</v>
      </c>
      <c r="T8" s="218"/>
    </row>
    <row r="9" spans="1:20" s="143" customFormat="1" ht="15" thickTop="1" x14ac:dyDescent="0.3">
      <c r="A9" s="1" t="s">
        <v>734</v>
      </c>
      <c r="B9" s="124"/>
      <c r="C9" s="21">
        <f>SUM(C6:C8)</f>
        <v>745322688.61550474</v>
      </c>
      <c r="D9" s="1"/>
      <c r="E9" s="1"/>
      <c r="F9" s="36">
        <f>SUM(F6:F8)</f>
        <v>611812049.82716942</v>
      </c>
      <c r="G9" s="36">
        <f>SUM(G6:G8)</f>
        <v>133510638.78833541</v>
      </c>
      <c r="H9" s="36">
        <f t="shared" ref="H9:J9" si="6">SUM(H6:H8)</f>
        <v>244005.48575393972</v>
      </c>
      <c r="I9" s="36">
        <f t="shared" si="6"/>
        <v>11.525021100922977</v>
      </c>
      <c r="J9" s="36">
        <f t="shared" si="6"/>
        <v>2.903657430971772</v>
      </c>
      <c r="K9" s="36">
        <f>SUM(K6:K8)</f>
        <v>245097.65556397307</v>
      </c>
      <c r="L9" s="36">
        <f t="shared" ref="L9:N9" si="7">SUM(L6:L8)</f>
        <v>75406.254955376775</v>
      </c>
      <c r="M9" s="36">
        <f t="shared" si="7"/>
        <v>0.1306141661005133</v>
      </c>
      <c r="N9" s="36">
        <f t="shared" si="7"/>
        <v>0.19736948549468097</v>
      </c>
      <c r="O9" s="214">
        <f>SUM(O6:O8)</f>
        <v>75462.215065683675</v>
      </c>
      <c r="P9" s="131"/>
      <c r="Q9" s="131"/>
      <c r="R9" s="131"/>
      <c r="S9" s="214">
        <f>SUM(S6:S8)</f>
        <v>320559.87062965671</v>
      </c>
      <c r="T9" s="219"/>
    </row>
    <row r="10" spans="1:20" s="141" customFormat="1" x14ac:dyDescent="0.3">
      <c r="A10"/>
      <c r="B10" s="7"/>
      <c r="C10" s="30"/>
      <c r="D10"/>
      <c r="E10" s="104"/>
      <c r="F10" s="104"/>
      <c r="G10" s="104"/>
      <c r="H10" s="104"/>
      <c r="I10" s="104"/>
      <c r="J10" s="104"/>
      <c r="K10" s="104"/>
      <c r="L10" s="207"/>
      <c r="M10"/>
      <c r="N10"/>
      <c r="O10" s="207"/>
      <c r="P10" s="207"/>
      <c r="Q10" s="207"/>
      <c r="R10" s="207"/>
      <c r="S10" s="207"/>
      <c r="T10" s="218"/>
    </row>
    <row r="11" spans="1:20" s="143" customFormat="1" x14ac:dyDescent="0.3">
      <c r="A11" s="1" t="s">
        <v>737</v>
      </c>
      <c r="B11" s="103" t="s">
        <v>730</v>
      </c>
      <c r="C11" s="21">
        <f>HLOOKUP(ReportingYear,'J Commuting Data'!4:7,4)*(1-HLOOKUP(ReportingYear,'I Transportation Data'!$79:$84,6))</f>
        <v>680533074.81981754</v>
      </c>
      <c r="D11" s="1" t="s">
        <v>13</v>
      </c>
      <c r="E11" s="93">
        <f>F11/C11</f>
        <v>0.81515788308735804</v>
      </c>
      <c r="F11" s="36">
        <f>SUM(F12:F13)</f>
        <v>554741900.64105308</v>
      </c>
      <c r="G11" s="36">
        <f t="shared" ref="G11" si="8">C11-F11</f>
        <v>125791174.17876446</v>
      </c>
      <c r="H11" s="36">
        <f t="shared" ref="H11:J11" si="9">P11*$E$11</f>
        <v>223575.62670921668</v>
      </c>
      <c r="I11" s="36">
        <f t="shared" si="9"/>
        <v>16.175665549961771</v>
      </c>
      <c r="J11" s="36">
        <f t="shared" si="9"/>
        <v>10.748554598586763</v>
      </c>
      <c r="K11" s="36">
        <f>S11*$E$11</f>
        <v>226876.91231324113</v>
      </c>
      <c r="L11" s="214">
        <f t="shared" ref="L11:N11" si="10">P11-H11</f>
        <v>50697.163075307501</v>
      </c>
      <c r="M11" s="36">
        <f t="shared" si="10"/>
        <v>3.6679327094299907</v>
      </c>
      <c r="N11" s="36">
        <f t="shared" si="10"/>
        <v>2.4373015669419367</v>
      </c>
      <c r="O11" s="214">
        <f>S11-K11</f>
        <v>51445.750106411142</v>
      </c>
      <c r="P11" s="216">
        <f t="shared" ref="P11:R11" si="11">SUM(P12:P13)</f>
        <v>274272.78978452418</v>
      </c>
      <c r="Q11" s="216">
        <f t="shared" si="11"/>
        <v>19.843598259391761</v>
      </c>
      <c r="R11" s="216">
        <f t="shared" si="11"/>
        <v>13.185856165528699</v>
      </c>
      <c r="S11" s="216">
        <f>SUM(S12:S13)</f>
        <v>278322.66241965228</v>
      </c>
    </row>
    <row r="12" spans="1:20" s="141" customFormat="1" x14ac:dyDescent="0.3">
      <c r="A12" s="104"/>
      <c r="B12" s="14" t="s">
        <v>199</v>
      </c>
      <c r="C12" s="30">
        <f>C11*('I Transportation Data'!C16/('I Transportation Data'!C16+'I Transportation Data'!C17))</f>
        <v>363866833.56922263</v>
      </c>
      <c r="D12" s="104" t="s">
        <v>13</v>
      </c>
      <c r="E12" s="18">
        <f>E7</f>
        <v>0.98499999999999999</v>
      </c>
      <c r="F12" s="28">
        <f>C12*E12</f>
        <v>358408831.06568426</v>
      </c>
      <c r="G12" s="28">
        <f>C12-F12</f>
        <v>5458002.5035383701</v>
      </c>
      <c r="H12" s="104"/>
      <c r="I12" s="104"/>
      <c r="J12" s="104"/>
      <c r="K12" s="28"/>
      <c r="L12" s="207"/>
      <c r="M12" s="104"/>
      <c r="N12" s="104"/>
      <c r="O12" s="199"/>
      <c r="P12" s="199">
        <f>C12*'E Transportation Factor Set'!B153*kg_to_MT</f>
        <v>124806.32391424337</v>
      </c>
      <c r="Q12" s="199">
        <f>C11*'E Transportation Factor Set'!C153*g_to_MT</f>
        <v>12.930128421576534</v>
      </c>
      <c r="R12" s="199">
        <f>C11*'E Transportation Factor Set'!D153*g_to_MT</f>
        <v>7.4858638230179917</v>
      </c>
      <c r="S12" s="217">
        <f>P12+Q12*CH4_GWP+R12*N2O_GWP</f>
        <v>127152.12142314728</v>
      </c>
    </row>
    <row r="13" spans="1:20" s="141" customFormat="1" x14ac:dyDescent="0.3">
      <c r="A13" s="104"/>
      <c r="B13" s="14" t="s">
        <v>733</v>
      </c>
      <c r="C13" s="30">
        <f>C11-C12</f>
        <v>316666241.25059491</v>
      </c>
      <c r="D13" s="104" t="s">
        <v>13</v>
      </c>
      <c r="E13" s="18">
        <f>E8</f>
        <v>0.62</v>
      </c>
      <c r="F13" s="28">
        <f>C13*E13</f>
        <v>196333069.57536885</v>
      </c>
      <c r="G13" s="28">
        <f>C13-F13</f>
        <v>120333171.67522606</v>
      </c>
      <c r="H13" s="104"/>
      <c r="I13" s="104"/>
      <c r="J13" s="104"/>
      <c r="K13" s="199"/>
      <c r="L13" s="207"/>
      <c r="M13" s="207"/>
      <c r="N13" s="207"/>
      <c r="O13" s="199"/>
      <c r="P13" s="203">
        <f>C13*'E Transportation Factor Set'!B154*kg_to_MT</f>
        <v>149466.46587028081</v>
      </c>
      <c r="Q13" s="199">
        <f>C12*'E Transportation Factor Set'!C154*g_to_MT</f>
        <v>6.9134698378152297</v>
      </c>
      <c r="R13" s="199">
        <f>C13*'E Transportation Factor Set'!D154*g_to_MT</f>
        <v>5.6999923425107077</v>
      </c>
      <c r="S13" s="217">
        <f>P13+Q13*CH4_GWP+R13*N2O_GWP</f>
        <v>151170.54099650498</v>
      </c>
    </row>
    <row r="14" spans="1:20" s="141" customFormat="1" ht="15" thickBot="1" x14ac:dyDescent="0.35">
      <c r="A14" s="31"/>
      <c r="B14" s="31"/>
      <c r="C14" s="31"/>
      <c r="D14" s="31"/>
      <c r="E14" s="31"/>
      <c r="F14" s="31"/>
      <c r="G14" s="31"/>
      <c r="H14" s="31"/>
      <c r="I14" s="31"/>
      <c r="J14" s="31"/>
      <c r="K14" s="43"/>
      <c r="L14" s="43"/>
      <c r="M14" s="43"/>
      <c r="N14" s="43"/>
      <c r="O14" s="43"/>
      <c r="P14" s="43"/>
      <c r="Q14" s="43"/>
      <c r="R14" s="43"/>
      <c r="S14" s="43"/>
    </row>
    <row r="15" spans="1:20" s="143" customFormat="1" ht="15" thickTop="1" x14ac:dyDescent="0.3">
      <c r="A15" s="1" t="s">
        <v>846</v>
      </c>
      <c r="B15" s="1"/>
      <c r="C15" s="1"/>
      <c r="D15" s="1"/>
      <c r="E15" s="1"/>
      <c r="F15" s="1"/>
      <c r="G15" s="1"/>
      <c r="H15" s="1"/>
      <c r="I15" s="1"/>
      <c r="J15" s="1"/>
      <c r="K15" s="131"/>
      <c r="L15" s="131"/>
      <c r="M15" s="131"/>
      <c r="N15" s="131"/>
      <c r="O15" s="131"/>
      <c r="P15" s="131"/>
      <c r="Q15" s="131"/>
      <c r="R15" s="131"/>
      <c r="S15" s="214">
        <f>S9+S11</f>
        <v>598882.53304930893</v>
      </c>
      <c r="T15" s="219"/>
    </row>
    <row r="16" spans="1:20" s="141" customFormat="1" x14ac:dyDescent="0.3">
      <c r="A16"/>
      <c r="B16"/>
      <c r="C16"/>
      <c r="D16"/>
      <c r="E16" s="104"/>
      <c r="F16" s="104"/>
      <c r="G16" s="104"/>
      <c r="H16" s="104"/>
      <c r="I16" s="104"/>
      <c r="J16" s="104"/>
      <c r="K16" s="207"/>
      <c r="L16" s="207"/>
      <c r="M16" s="207"/>
      <c r="N16" s="207"/>
      <c r="O16" s="207"/>
      <c r="P16" s="207"/>
      <c r="Q16" s="207"/>
      <c r="R16" s="207"/>
      <c r="S16" s="207"/>
      <c r="T16" s="218"/>
    </row>
    <row r="17" spans="1:25" s="141" customFormat="1" x14ac:dyDescent="0.3">
      <c r="A17" s="1" t="s">
        <v>736</v>
      </c>
      <c r="B17"/>
      <c r="C17"/>
      <c r="D17"/>
      <c r="E17" s="104"/>
      <c r="F17" s="104"/>
      <c r="G17" s="104"/>
      <c r="H17" s="104"/>
      <c r="I17" s="104"/>
      <c r="J17" s="104"/>
      <c r="K17" s="207"/>
      <c r="L17" s="207"/>
      <c r="M17" s="207"/>
      <c r="N17" s="207"/>
      <c r="O17" s="207"/>
      <c r="P17" s="207"/>
      <c r="Q17" s="207"/>
      <c r="R17" s="207"/>
      <c r="S17" s="207"/>
      <c r="T17" s="218"/>
    </row>
    <row r="18" spans="1:25" s="141" customFormat="1" x14ac:dyDescent="0.3">
      <c r="A18" s="4" t="s">
        <v>51</v>
      </c>
      <c r="B18" t="s">
        <v>438</v>
      </c>
      <c r="C18"/>
      <c r="D18"/>
      <c r="E18" s="104"/>
      <c r="F18" s="104"/>
      <c r="G18" s="104"/>
      <c r="H18" s="104"/>
      <c r="I18" s="104"/>
      <c r="J18" s="104"/>
      <c r="K18" s="207"/>
      <c r="L18" s="207"/>
      <c r="M18" s="207"/>
      <c r="N18" s="207"/>
      <c r="O18" s="207"/>
      <c r="P18" s="207"/>
      <c r="Q18" s="207"/>
      <c r="R18" s="207"/>
      <c r="S18" s="199">
        <f>-('I Transportation Data'!$D$33*S7)-('I Transportation Data'!$D$34*0.5*S7)</f>
        <v>-883.98634614644425</v>
      </c>
    </row>
    <row r="19" spans="1:25" s="141" customFormat="1" ht="15" thickBot="1" x14ac:dyDescent="0.35">
      <c r="A19" s="41" t="s">
        <v>735</v>
      </c>
      <c r="B19" s="31" t="s">
        <v>438</v>
      </c>
      <c r="C19" s="31"/>
      <c r="D19" s="31"/>
      <c r="E19" s="31"/>
      <c r="F19" s="31"/>
      <c r="G19" s="31"/>
      <c r="H19" s="31"/>
      <c r="I19" s="31"/>
      <c r="J19" s="31"/>
      <c r="K19" s="43"/>
      <c r="L19" s="43"/>
      <c r="M19" s="43"/>
      <c r="N19" s="43"/>
      <c r="O19" s="43"/>
      <c r="P19" s="43"/>
      <c r="Q19" s="43"/>
      <c r="R19" s="43"/>
      <c r="S19" s="215">
        <f>-('I Transportation Data'!$D$33*S11)-('I Transportation Data'!$D$34*0.5*S11)</f>
        <v>-1757.5530044783413</v>
      </c>
    </row>
    <row r="20" spans="1:25" s="141" customFormat="1" ht="15" thickTop="1" x14ac:dyDescent="0.3">
      <c r="A20" s="39" t="s">
        <v>734</v>
      </c>
      <c r="B20"/>
      <c r="C20"/>
      <c r="D20"/>
      <c r="E20" s="104"/>
      <c r="F20" s="104"/>
      <c r="G20" s="104"/>
      <c r="H20" s="104"/>
      <c r="I20" s="104"/>
      <c r="J20" s="104"/>
      <c r="K20" s="207"/>
      <c r="L20" s="207"/>
      <c r="M20" s="207"/>
      <c r="N20" s="207"/>
      <c r="O20" s="207"/>
      <c r="P20" s="207"/>
      <c r="Q20" s="207"/>
      <c r="R20" s="207"/>
      <c r="S20" s="199">
        <f>S18+S9</f>
        <v>319675.88428351027</v>
      </c>
      <c r="T20" s="218"/>
    </row>
    <row r="21" spans="1:25" s="141" customFormat="1" ht="15" thickBot="1" x14ac:dyDescent="0.35">
      <c r="A21" s="42" t="s">
        <v>737</v>
      </c>
      <c r="B21" s="31"/>
      <c r="C21" s="31"/>
      <c r="D21" s="31"/>
      <c r="E21" s="31"/>
      <c r="F21" s="31"/>
      <c r="G21" s="31"/>
      <c r="H21" s="31"/>
      <c r="I21" s="31"/>
      <c r="J21" s="31"/>
      <c r="K21" s="43"/>
      <c r="L21" s="43"/>
      <c r="M21" s="43"/>
      <c r="N21" s="43"/>
      <c r="O21" s="43"/>
      <c r="P21" s="43"/>
      <c r="Q21" s="43"/>
      <c r="R21" s="43"/>
      <c r="S21" s="215">
        <f>S11+S19</f>
        <v>276565.10941517394</v>
      </c>
      <c r="T21" s="218"/>
    </row>
    <row r="22" spans="1:25" s="141" customFormat="1" ht="15" thickTop="1" x14ac:dyDescent="0.3">
      <c r="A22" s="39" t="s">
        <v>85</v>
      </c>
      <c r="B22"/>
      <c r="C22"/>
      <c r="D22"/>
      <c r="E22" s="104"/>
      <c r="F22" s="104"/>
      <c r="G22" s="104"/>
      <c r="H22" s="104"/>
      <c r="I22" s="104"/>
      <c r="J22" s="104"/>
      <c r="K22" s="207"/>
      <c r="L22" s="207"/>
      <c r="M22" s="207"/>
      <c r="N22" s="207"/>
      <c r="O22" s="207"/>
      <c r="P22" s="207"/>
      <c r="Q22" s="207"/>
      <c r="R22" s="207"/>
      <c r="S22" s="199">
        <f>SUM(S20:S21)</f>
        <v>596240.99369868427</v>
      </c>
      <c r="T22" s="218"/>
    </row>
    <row r="23" spans="1:25" s="141" customFormat="1" x14ac:dyDescent="0.3">
      <c r="A23" s="209"/>
      <c r="B23" s="133"/>
      <c r="C23" s="133"/>
      <c r="D23" s="133"/>
      <c r="E23" s="133"/>
      <c r="F23" s="133"/>
      <c r="G23" s="133"/>
      <c r="H23" s="133"/>
      <c r="I23" s="133"/>
      <c r="J23" s="133"/>
      <c r="K23" s="133"/>
      <c r="L23" s="133"/>
      <c r="M23" s="133"/>
      <c r="N23" s="133"/>
      <c r="O23" s="133"/>
      <c r="P23" s="133"/>
      <c r="Q23" s="133"/>
      <c r="R23" s="133"/>
      <c r="S23" s="133"/>
    </row>
    <row r="24" spans="1:25" s="138" customFormat="1" ht="18" x14ac:dyDescent="0.35">
      <c r="A24" s="117" t="s">
        <v>31</v>
      </c>
      <c r="B24" s="117" t="s">
        <v>738</v>
      </c>
      <c r="C24" s="117"/>
      <c r="D24" s="117"/>
      <c r="E24" s="117"/>
      <c r="F24" s="117"/>
      <c r="G24" s="117"/>
      <c r="H24" s="117"/>
      <c r="I24" s="117"/>
      <c r="J24" s="117"/>
      <c r="K24" s="117"/>
      <c r="L24" s="117"/>
      <c r="M24" s="117"/>
      <c r="N24" s="117"/>
      <c r="O24" s="117"/>
      <c r="P24" s="117"/>
      <c r="Q24" s="117"/>
      <c r="R24" s="117"/>
      <c r="S24" s="117"/>
    </row>
    <row r="25" spans="1:25" s="143" customFormat="1" x14ac:dyDescent="0.3">
      <c r="A25" s="131" t="s">
        <v>22</v>
      </c>
      <c r="B25" s="131" t="s">
        <v>39</v>
      </c>
      <c r="C25" s="131" t="s">
        <v>712</v>
      </c>
      <c r="D25" s="131"/>
      <c r="E25" s="131" t="s">
        <v>731</v>
      </c>
      <c r="F25" s="131" t="s">
        <v>1128</v>
      </c>
      <c r="G25" s="131" t="s">
        <v>1129</v>
      </c>
      <c r="H25" s="131" t="s">
        <v>1130</v>
      </c>
      <c r="I25" s="131" t="s">
        <v>1132</v>
      </c>
      <c r="J25" s="131" t="s">
        <v>1134</v>
      </c>
      <c r="K25" s="131" t="s">
        <v>1138</v>
      </c>
      <c r="L25" s="131" t="s">
        <v>1131</v>
      </c>
      <c r="M25" s="131" t="s">
        <v>1133</v>
      </c>
      <c r="N25" s="131" t="s">
        <v>1135</v>
      </c>
      <c r="O25" s="131" t="s">
        <v>1139</v>
      </c>
      <c r="P25" s="131" t="s">
        <v>1140</v>
      </c>
      <c r="Q25" s="131" t="s">
        <v>1141</v>
      </c>
      <c r="R25" s="131" t="s">
        <v>1142</v>
      </c>
      <c r="S25" s="131" t="s">
        <v>873</v>
      </c>
    </row>
    <row r="26" spans="1:25" s="141" customFormat="1" x14ac:dyDescent="0.3">
      <c r="A26" s="207"/>
      <c r="B26" s="207"/>
      <c r="C26" s="200" t="s">
        <v>23</v>
      </c>
      <c r="D26" s="200" t="s">
        <v>24</v>
      </c>
      <c r="E26" s="207"/>
      <c r="F26" s="207"/>
      <c r="G26" s="207"/>
      <c r="H26" s="200" t="s">
        <v>55</v>
      </c>
      <c r="I26" s="200" t="s">
        <v>751</v>
      </c>
      <c r="J26" s="200" t="s">
        <v>752</v>
      </c>
      <c r="K26" s="200" t="s">
        <v>5</v>
      </c>
      <c r="L26" s="200" t="s">
        <v>55</v>
      </c>
      <c r="M26" s="200" t="s">
        <v>751</v>
      </c>
      <c r="N26" s="200" t="s">
        <v>752</v>
      </c>
      <c r="O26" s="200" t="s">
        <v>5</v>
      </c>
      <c r="P26" s="200" t="s">
        <v>55</v>
      </c>
      <c r="Q26" s="200" t="s">
        <v>751</v>
      </c>
      <c r="R26" s="200" t="s">
        <v>752</v>
      </c>
      <c r="S26" s="200" t="s">
        <v>5</v>
      </c>
      <c r="U26" s="223"/>
    </row>
    <row r="27" spans="1:25" s="141" customFormat="1" x14ac:dyDescent="0.3">
      <c r="A27" s="207" t="s">
        <v>51</v>
      </c>
      <c r="B27" s="14" t="s">
        <v>430</v>
      </c>
      <c r="C27" s="217">
        <f>HLOOKUP(ReportingYear,'I Transportation Data'!$6:$9,4)*'I Transportation Data'!C18</f>
        <v>19873031.667391773</v>
      </c>
      <c r="D27" s="207" t="s">
        <v>13</v>
      </c>
      <c r="E27" s="220">
        <f>'E Transportation Factor Set'!C12</f>
        <v>0.62</v>
      </c>
      <c r="F27" s="199">
        <f t="shared" ref="F27:F33" si="12">C27*E27</f>
        <v>12321279.633782899</v>
      </c>
      <c r="G27" s="199">
        <f t="shared" ref="G27:G33" si="13">C27-F27</f>
        <v>7551752.0336088743</v>
      </c>
      <c r="H27" s="199">
        <f>F27*'E Transportation Factor Set'!G12</f>
        <v>6054.48457034082</v>
      </c>
      <c r="I27" s="203">
        <f>F27*'E Transportation Factor Set'!G26</f>
        <v>0.20083685803066123</v>
      </c>
      <c r="J27" s="203">
        <f>F27*'E Transportation Factor Set'!G40</f>
        <v>8.1320445582967124E-2</v>
      </c>
      <c r="K27" s="199">
        <f t="shared" ref="K27:K33" si="14">H27+I27*CH4_GWP+J27*N2O_GWP</f>
        <v>6081.6579204451646</v>
      </c>
      <c r="L27" s="199">
        <f>G27*'E Transportation Factor Set'!H12</f>
        <v>4315.1938489250351</v>
      </c>
      <c r="M27" s="203">
        <f>G27*'E Transportation Factor Set'!H26</f>
        <v>7.5517520336088745E-3</v>
      </c>
      <c r="N27" s="203">
        <f>G27*'E Transportation Factor Set'!H40</f>
        <v>1.1327628050413312E-2</v>
      </c>
      <c r="O27" s="199">
        <f t="shared" ref="O27:O33" si="15">L27+M27*CH4_GWP+N27*N2O_GWP</f>
        <v>4318.4071194153357</v>
      </c>
      <c r="P27" s="199">
        <f>H27+L27</f>
        <v>10369.678419265856</v>
      </c>
      <c r="Q27" s="203">
        <f>I27+M27</f>
        <v>0.20838861006427012</v>
      </c>
      <c r="R27" s="203">
        <f>J27+N27</f>
        <v>9.2648073633380429E-2</v>
      </c>
      <c r="S27" s="199">
        <f>K27+O27</f>
        <v>10400.065039860499</v>
      </c>
      <c r="U27" s="218"/>
      <c r="V27" s="224"/>
      <c r="W27" s="224"/>
      <c r="X27" s="224"/>
      <c r="Y27" s="224"/>
    </row>
    <row r="28" spans="1:25" s="141" customFormat="1" x14ac:dyDescent="0.3">
      <c r="A28" s="207" t="s">
        <v>51</v>
      </c>
      <c r="B28" s="14" t="s">
        <v>162</v>
      </c>
      <c r="C28" s="217">
        <f>HLOOKUP(ReportingYear,'I Transportation Data'!$6:$9,4)*'I Transportation Data'!C22</f>
        <v>170711.88915267002</v>
      </c>
      <c r="D28" s="207" t="s">
        <v>13</v>
      </c>
      <c r="E28" s="220">
        <f>'E Transportation Factor Set'!C13</f>
        <v>0.13</v>
      </c>
      <c r="F28" s="199">
        <f t="shared" si="12"/>
        <v>22192.545589847105</v>
      </c>
      <c r="G28" s="199">
        <f t="shared" si="13"/>
        <v>148519.34356282291</v>
      </c>
      <c r="H28" s="199">
        <f>F28*'E Transportation Factor Set'!G13</f>
        <v>77.016027778204574</v>
      </c>
      <c r="I28" s="203">
        <f>F28*'E Transportation Factor Set'!G27</f>
        <v>7.3901176814190862E-4</v>
      </c>
      <c r="J28" s="203">
        <f>F28*'E Transportation Factor Set'!G41</f>
        <v>2.973801109039512E-4</v>
      </c>
      <c r="K28" s="199">
        <f t="shared" si="14"/>
        <v>77.115525837102098</v>
      </c>
      <c r="L28" s="203">
        <f>G28*'E Transportation Factor Set'!H13</f>
        <v>599.36067105787436</v>
      </c>
      <c r="M28" s="203">
        <f>G28*'E Transportation Factor Set'!H27</f>
        <v>7.5744865217039687E-4</v>
      </c>
      <c r="N28" s="203">
        <f>G28*'E Transportation Factor Set'!H41</f>
        <v>7.1289284910154983E-4</v>
      </c>
      <c r="O28" s="199">
        <f t="shared" si="15"/>
        <v>599.57079622514698</v>
      </c>
      <c r="P28" s="199">
        <f t="shared" ref="P28:P33" si="16">H28+L28</f>
        <v>676.37669883607896</v>
      </c>
      <c r="Q28" s="203">
        <f t="shared" ref="Q28:Q33" si="17">I28+M28</f>
        <v>1.4964604203123056E-3</v>
      </c>
      <c r="R28" s="203">
        <f t="shared" ref="R28:R33" si="18">J28+N28</f>
        <v>1.0102729600055011E-3</v>
      </c>
      <c r="S28" s="199">
        <f t="shared" ref="S28:S33" si="19">K28+O28</f>
        <v>676.68632206224902</v>
      </c>
      <c r="U28" s="218"/>
      <c r="V28" s="224"/>
      <c r="W28" s="224"/>
      <c r="X28" s="224"/>
      <c r="Y28" s="224"/>
    </row>
    <row r="29" spans="1:25" s="141" customFormat="1" x14ac:dyDescent="0.3">
      <c r="A29" s="207" t="s">
        <v>51</v>
      </c>
      <c r="B29" s="14" t="s">
        <v>433</v>
      </c>
      <c r="C29" s="217">
        <f>HLOOKUP(ReportingYear,'I Transportation Data'!$6:$9,4)*'I Transportation Data'!C23</f>
        <v>5947818.9950811211</v>
      </c>
      <c r="D29" s="207" t="s">
        <v>13</v>
      </c>
      <c r="E29" s="220">
        <f>'E Transportation Factor Set'!C14</f>
        <v>0.13</v>
      </c>
      <c r="F29" s="199">
        <f t="shared" si="12"/>
        <v>773216.46936054574</v>
      </c>
      <c r="G29" s="199">
        <f t="shared" si="13"/>
        <v>5174602.5257205758</v>
      </c>
      <c r="H29" s="199">
        <f>F29*'E Transportation Factor Set'!G14</f>
        <v>904.44319482064839</v>
      </c>
      <c r="I29" s="203">
        <f>F29*'E Transportation Factor Set'!G28</f>
        <v>2.5748108429706172E-2</v>
      </c>
      <c r="J29" s="203">
        <f>F29*'E Transportation Factor Set'!G42</f>
        <v>1.0361100689431312E-2</v>
      </c>
      <c r="K29" s="199">
        <f t="shared" si="14"/>
        <v>907.90983353937952</v>
      </c>
      <c r="L29" s="199">
        <f>G29*'E Transportation Factor Set'!H14</f>
        <v>7038.6346299573988</v>
      </c>
      <c r="M29" s="203">
        <f>G29*'E Transportation Factor Set'!H28</f>
        <v>2.6390472881174937E-2</v>
      </c>
      <c r="N29" s="203">
        <f>G29*'E Transportation Factor Set'!H42</f>
        <v>2.483809212345876E-2</v>
      </c>
      <c r="O29" s="199">
        <f t="shared" si="15"/>
        <v>7045.955657610788</v>
      </c>
      <c r="P29" s="199">
        <f t="shared" si="16"/>
        <v>7943.0778247780472</v>
      </c>
      <c r="Q29" s="203">
        <f t="shared" si="17"/>
        <v>5.2138581310881109E-2</v>
      </c>
      <c r="R29" s="203">
        <f t="shared" si="18"/>
        <v>3.5199192812890072E-2</v>
      </c>
      <c r="S29" s="199">
        <f t="shared" si="19"/>
        <v>7953.8654911501671</v>
      </c>
      <c r="U29" s="218"/>
      <c r="V29" s="224"/>
      <c r="W29" s="224"/>
      <c r="X29" s="224"/>
      <c r="Y29" s="224"/>
    </row>
    <row r="30" spans="1:25" s="141" customFormat="1" x14ac:dyDescent="0.3">
      <c r="A30" s="207" t="s">
        <v>51</v>
      </c>
      <c r="B30" s="14" t="s">
        <v>434</v>
      </c>
      <c r="C30" s="217">
        <f>HLOOKUP(ReportingYear,'I Transportation Data'!$6:$9,4)*'I Transportation Data'!C24</f>
        <v>249293.55241342285</v>
      </c>
      <c r="D30" s="207" t="s">
        <v>13</v>
      </c>
      <c r="E30" s="220">
        <f>'E Transportation Factor Set'!C15</f>
        <v>0.13</v>
      </c>
      <c r="F30" s="199">
        <f t="shared" si="12"/>
        <v>32408.16181374497</v>
      </c>
      <c r="G30" s="199">
        <f t="shared" si="13"/>
        <v>216885.39059967786</v>
      </c>
      <c r="H30" s="199">
        <f>F30*'E Transportation Factor Set'!G15</f>
        <v>37.908325249885948</v>
      </c>
      <c r="I30" s="203">
        <f>F30*'E Transportation Factor Set'!G29</f>
        <v>1.0791917883977075E-3</v>
      </c>
      <c r="J30" s="203">
        <f>F30*'E Transportation Factor Set'!G43</f>
        <v>4.3426936830418255E-4</v>
      </c>
      <c r="K30" s="199">
        <f t="shared" si="14"/>
        <v>38.053624002561691</v>
      </c>
      <c r="L30" s="199">
        <f>G30*'E Transportation Factor Set'!H15</f>
        <v>295.01338767930781</v>
      </c>
      <c r="M30" s="203">
        <f>G30*'E Transportation Factor Set'!H29</f>
        <v>1.1061154920583571E-3</v>
      </c>
      <c r="N30" s="203">
        <f>G30*'E Transportation Factor Set'!H43</f>
        <v>1.0410498748784536E-3</v>
      </c>
      <c r="O30" s="199">
        <f t="shared" si="15"/>
        <v>295.32023712992822</v>
      </c>
      <c r="P30" s="199">
        <f t="shared" si="16"/>
        <v>332.92171292919375</v>
      </c>
      <c r="Q30" s="203">
        <f t="shared" si="17"/>
        <v>2.1853072804560647E-3</v>
      </c>
      <c r="R30" s="203">
        <f t="shared" si="18"/>
        <v>1.475319243182636E-3</v>
      </c>
      <c r="S30" s="199">
        <f t="shared" si="19"/>
        <v>333.37386113248988</v>
      </c>
      <c r="U30" s="218"/>
      <c r="V30" s="224"/>
      <c r="W30" s="224"/>
      <c r="X30" s="224"/>
      <c r="Y30" s="224"/>
    </row>
    <row r="31" spans="1:25" s="141" customFormat="1" x14ac:dyDescent="0.3">
      <c r="A31" s="207" t="s">
        <v>51</v>
      </c>
      <c r="B31" s="14" t="s">
        <v>165</v>
      </c>
      <c r="C31" s="217">
        <f>HLOOKUP(ReportingYear,'I Transportation Data'!$6:$9,4)*'I Transportation Data'!C25</f>
        <v>2875004.9903330612</v>
      </c>
      <c r="D31" s="207" t="s">
        <v>13</v>
      </c>
      <c r="E31" s="220">
        <f>'E Transportation Factor Set'!C16</f>
        <v>0.82000000000000006</v>
      </c>
      <c r="F31" s="199">
        <f t="shared" si="12"/>
        <v>2357504.0920731104</v>
      </c>
      <c r="G31" s="199">
        <f t="shared" si="13"/>
        <v>517500.8982599508</v>
      </c>
      <c r="H31" s="199">
        <f>F31*'E Transportation Factor Set'!G16</f>
        <v>2820.1972666263036</v>
      </c>
      <c r="I31" s="203">
        <f>F31*'E Transportation Factor Set'!G30</f>
        <v>7.8504886266034579E-2</v>
      </c>
      <c r="J31" s="203">
        <f>F31*'E Transportation Factor Set'!G44</f>
        <v>3.1590554833779677E-2</v>
      </c>
      <c r="K31" s="199">
        <f t="shared" si="14"/>
        <v>2830.766900472704</v>
      </c>
      <c r="L31" s="199">
        <f>G31*'E Transportation Factor Set'!H16</f>
        <v>719.89534649227994</v>
      </c>
      <c r="M31" s="203">
        <f>G31*'E Transportation Factor Set'!H30</f>
        <v>2.6392545811257493E-3</v>
      </c>
      <c r="N31" s="203">
        <f>G31*'E Transportation Factor Set'!H44</f>
        <v>2.4840043116477633E-3</v>
      </c>
      <c r="O31" s="199">
        <f t="shared" si="15"/>
        <v>720.62750676313806</v>
      </c>
      <c r="P31" s="199">
        <f t="shared" si="16"/>
        <v>3540.0926131185834</v>
      </c>
      <c r="Q31" s="203">
        <f t="shared" si="17"/>
        <v>8.1144140847160331E-2</v>
      </c>
      <c r="R31" s="203">
        <f t="shared" si="18"/>
        <v>3.4074559145427438E-2</v>
      </c>
      <c r="S31" s="199">
        <f t="shared" si="19"/>
        <v>3551.3944072358422</v>
      </c>
      <c r="U31" s="218"/>
      <c r="V31" s="224"/>
      <c r="W31" s="224"/>
      <c r="X31" s="224"/>
      <c r="Y31" s="224"/>
    </row>
    <row r="32" spans="1:25" s="141" customFormat="1" x14ac:dyDescent="0.3">
      <c r="A32" s="207" t="s">
        <v>51</v>
      </c>
      <c r="B32" s="14" t="s">
        <v>435</v>
      </c>
      <c r="C32" s="217">
        <f>HLOOKUP(ReportingYear,'I Transportation Data'!$6:$9,4)*'I Transportation Data'!C26</f>
        <v>1360275.6881688943</v>
      </c>
      <c r="D32" s="207" t="s">
        <v>13</v>
      </c>
      <c r="E32" s="220">
        <f>'E Transportation Factor Set'!C17</f>
        <v>0</v>
      </c>
      <c r="F32" s="199">
        <f t="shared" si="12"/>
        <v>0</v>
      </c>
      <c r="G32" s="199">
        <f t="shared" si="13"/>
        <v>1360275.6881688943</v>
      </c>
      <c r="H32" s="199">
        <f>F32*'E Transportation Factor Set'!G17</f>
        <v>0</v>
      </c>
      <c r="I32" s="203">
        <f>F32*'E Transportation Factor Set'!G31</f>
        <v>0</v>
      </c>
      <c r="J32" s="203">
        <f>F32*'E Transportation Factor Set'!G45</f>
        <v>0</v>
      </c>
      <c r="K32" s="199">
        <f t="shared" si="14"/>
        <v>0</v>
      </c>
      <c r="L32" s="199">
        <f>G32*'E Transportation Factor Set'!H17</f>
        <v>2286.8989107635384</v>
      </c>
      <c r="M32" s="203">
        <f>G32*'E Transportation Factor Set'!H31</f>
        <v>6.9374060096613612E-3</v>
      </c>
      <c r="N32" s="203">
        <f>G32*'E Transportation Factor Set'!H45</f>
        <v>6.529323303210691E-3</v>
      </c>
      <c r="O32" s="199">
        <f t="shared" si="15"/>
        <v>2288.8234288071599</v>
      </c>
      <c r="P32" s="199">
        <f t="shared" si="16"/>
        <v>2286.8989107635384</v>
      </c>
      <c r="Q32" s="203">
        <f t="shared" si="17"/>
        <v>6.9374060096613612E-3</v>
      </c>
      <c r="R32" s="203">
        <f t="shared" si="18"/>
        <v>6.529323303210691E-3</v>
      </c>
      <c r="S32" s="199">
        <f t="shared" si="19"/>
        <v>2288.8234288071599</v>
      </c>
      <c r="U32" s="218"/>
      <c r="V32" s="224"/>
      <c r="W32" s="224"/>
      <c r="X32" s="224"/>
      <c r="Y32" s="224"/>
    </row>
    <row r="33" spans="1:25" s="141" customFormat="1" ht="15" thickBot="1" x14ac:dyDescent="0.35">
      <c r="A33" s="43" t="s">
        <v>51</v>
      </c>
      <c r="B33" s="43" t="s">
        <v>436</v>
      </c>
      <c r="C33" s="222">
        <f>HLOOKUP(ReportingYear,'I Transportation Data'!$6:$9,4)*'I Transportation Data'!C27</f>
        <v>1493051.6019543041</v>
      </c>
      <c r="D33" s="43" t="s">
        <v>13</v>
      </c>
      <c r="E33" s="221">
        <f>'E Transportation Factor Set'!C18</f>
        <v>0</v>
      </c>
      <c r="F33" s="215">
        <f t="shared" si="12"/>
        <v>0</v>
      </c>
      <c r="G33" s="215">
        <f t="shared" si="13"/>
        <v>1493051.6019543041</v>
      </c>
      <c r="H33" s="215">
        <f>F33*'E Transportation Factor Set'!G18</f>
        <v>0</v>
      </c>
      <c r="I33" s="213">
        <f>F33*'E Transportation Factor Set'!G32</f>
        <v>0</v>
      </c>
      <c r="J33" s="213">
        <f>F33*'E Transportation Factor Set'!G46</f>
        <v>0</v>
      </c>
      <c r="K33" s="215">
        <f t="shared" si="14"/>
        <v>0</v>
      </c>
      <c r="L33" s="215">
        <f>G33*'E Transportation Factor Set'!H18</f>
        <v>2510.1221112165526</v>
      </c>
      <c r="M33" s="213">
        <f>G33*'E Transportation Factor Set'!H32</f>
        <v>7.6145631699669515E-3</v>
      </c>
      <c r="N33" s="213">
        <f>G33*'E Transportation Factor Set'!H46</f>
        <v>7.1666476893806584E-3</v>
      </c>
      <c r="O33" s="215">
        <f t="shared" si="15"/>
        <v>2512.2344806229976</v>
      </c>
      <c r="P33" s="215">
        <f t="shared" si="16"/>
        <v>2510.1221112165526</v>
      </c>
      <c r="Q33" s="213">
        <f t="shared" si="17"/>
        <v>7.6145631699669515E-3</v>
      </c>
      <c r="R33" s="213">
        <f t="shared" si="18"/>
        <v>7.1666476893806584E-3</v>
      </c>
      <c r="S33" s="215">
        <f t="shared" si="19"/>
        <v>2512.2344806229976</v>
      </c>
      <c r="U33" s="218"/>
      <c r="V33" s="224"/>
      <c r="W33" s="224"/>
      <c r="X33" s="224"/>
      <c r="Y33" s="224"/>
    </row>
    <row r="34" spans="1:25" s="143" customFormat="1" ht="15" thickTop="1" x14ac:dyDescent="0.3">
      <c r="A34" s="131" t="s">
        <v>734</v>
      </c>
      <c r="B34" s="131"/>
      <c r="C34" s="214">
        <f>SUM(C27:C33)</f>
        <v>31969188.384495247</v>
      </c>
      <c r="D34" s="131"/>
      <c r="E34" s="131"/>
      <c r="F34" s="214">
        <f t="shared" ref="F34:N34" si="20">SUM(F27:F33)</f>
        <v>15506600.902620148</v>
      </c>
      <c r="G34" s="214">
        <f t="shared" si="20"/>
        <v>16462587.481875099</v>
      </c>
      <c r="H34" s="214">
        <f t="shared" si="20"/>
        <v>9894.0493848158621</v>
      </c>
      <c r="I34" s="214">
        <f t="shared" si="20"/>
        <v>0.3069080562829416</v>
      </c>
      <c r="J34" s="214">
        <f t="shared" si="20"/>
        <v>0.12400375058538625</v>
      </c>
      <c r="K34" s="214">
        <f t="shared" si="20"/>
        <v>9935.5038042969099</v>
      </c>
      <c r="L34" s="214">
        <f t="shared" si="20"/>
        <v>17765.118906091986</v>
      </c>
      <c r="M34" s="214">
        <f t="shared" si="20"/>
        <v>5.2997012819766626E-2</v>
      </c>
      <c r="N34" s="214">
        <f t="shared" si="20"/>
        <v>5.4099638202091183E-2</v>
      </c>
      <c r="O34" s="214">
        <f t="shared" ref="O34:S34" si="21">SUM(O27:O33)</f>
        <v>17780.939226574494</v>
      </c>
      <c r="P34" s="214">
        <f t="shared" si="21"/>
        <v>27659.168290907848</v>
      </c>
      <c r="Q34" s="214">
        <f t="shared" si="21"/>
        <v>0.35990506910270825</v>
      </c>
      <c r="R34" s="214">
        <f t="shared" si="21"/>
        <v>0.17810338878747745</v>
      </c>
      <c r="S34" s="214">
        <f t="shared" si="21"/>
        <v>27716.443030871407</v>
      </c>
      <c r="U34" s="219"/>
      <c r="V34" s="219"/>
    </row>
    <row r="35" spans="1:25" s="141" customFormat="1" x14ac:dyDescent="0.3">
      <c r="A35" s="133"/>
      <c r="B35" s="133"/>
      <c r="C35" s="133"/>
      <c r="D35" s="133"/>
      <c r="E35" s="133"/>
      <c r="F35" s="133"/>
      <c r="G35" s="133"/>
      <c r="H35" s="133"/>
      <c r="I35" s="133"/>
      <c r="J35" s="133"/>
      <c r="K35" s="133"/>
      <c r="L35" s="133"/>
      <c r="M35" s="133"/>
      <c r="N35" s="133"/>
      <c r="O35" s="133"/>
      <c r="P35" s="133"/>
      <c r="Q35" s="133"/>
      <c r="R35" s="133"/>
      <c r="S35" s="133"/>
    </row>
    <row r="36" spans="1:25" s="138" customFormat="1" ht="18" x14ac:dyDescent="0.35">
      <c r="A36" s="117" t="s">
        <v>32</v>
      </c>
      <c r="B36" s="117" t="s">
        <v>739</v>
      </c>
      <c r="C36" s="117"/>
      <c r="D36" s="117"/>
      <c r="E36" s="117"/>
      <c r="F36" s="117"/>
      <c r="G36" s="117"/>
      <c r="H36" s="117"/>
      <c r="I36" s="117"/>
      <c r="J36" s="117"/>
      <c r="K36" s="117"/>
      <c r="L36" s="117"/>
      <c r="M36" s="117"/>
      <c r="N36" s="117"/>
      <c r="O36" s="117"/>
      <c r="P36" s="117"/>
      <c r="Q36" s="117"/>
      <c r="R36" s="117"/>
      <c r="S36" s="117"/>
    </row>
    <row r="37" spans="1:25" s="140" customFormat="1" x14ac:dyDescent="0.3">
      <c r="A37" s="1" t="s">
        <v>22</v>
      </c>
      <c r="B37" s="1" t="s">
        <v>39</v>
      </c>
      <c r="C37" s="1" t="s">
        <v>712</v>
      </c>
      <c r="D37" s="1"/>
      <c r="E37" s="140" t="s">
        <v>136</v>
      </c>
      <c r="F37" s="140" t="s">
        <v>221</v>
      </c>
      <c r="G37" s="140" t="s">
        <v>222</v>
      </c>
      <c r="H37" s="140" t="s">
        <v>4</v>
      </c>
    </row>
    <row r="38" spans="1:25" x14ac:dyDescent="0.3">
      <c r="A38"/>
      <c r="B38"/>
      <c r="C38" s="3" t="s">
        <v>23</v>
      </c>
      <c r="D38" s="3" t="s">
        <v>24</v>
      </c>
      <c r="E38" s="133" t="s">
        <v>55</v>
      </c>
      <c r="F38" s="133" t="s">
        <v>751</v>
      </c>
      <c r="G38" s="133" t="s">
        <v>752</v>
      </c>
      <c r="H38" s="133" t="s">
        <v>5</v>
      </c>
      <c r="I38" s="149"/>
    </row>
    <row r="39" spans="1:25" x14ac:dyDescent="0.3">
      <c r="A39" t="s">
        <v>51</v>
      </c>
      <c r="B39" t="s">
        <v>740</v>
      </c>
      <c r="C39" s="26">
        <f>'I Transportation Data'!B68</f>
        <v>74525</v>
      </c>
      <c r="D39" t="s">
        <v>741</v>
      </c>
      <c r="E39" s="142">
        <f>C39*'E Transportation Factor Set'!B171*kg_to_MT</f>
        <v>1.714075</v>
      </c>
      <c r="F39" s="133">
        <f>C39*'E Transportation Factor Set'!C171*g_to_MT</f>
        <v>1.3414500000000001E-4</v>
      </c>
      <c r="G39" s="133">
        <f>C39*'E Transportation Factor Set'!D171*g_to_MT</f>
        <v>4.4714999999999995E-5</v>
      </c>
      <c r="H39" s="142">
        <f>E39+F39*CH4_GWP+G39*N2O_GWP</f>
        <v>1.729680535</v>
      </c>
      <c r="I39" s="142"/>
    </row>
    <row r="40" spans="1:25" ht="15" thickBot="1" x14ac:dyDescent="0.35">
      <c r="A40" s="31" t="s">
        <v>742</v>
      </c>
      <c r="B40" s="31" t="s">
        <v>743</v>
      </c>
      <c r="C40" s="225">
        <f>'I Transportation Data'!B63</f>
        <v>948606</v>
      </c>
      <c r="D40" s="31" t="s">
        <v>744</v>
      </c>
      <c r="E40" s="226">
        <f>C40*'E Transportation Factor Set'!B156*kg_to_MT</f>
        <v>132.80484000000004</v>
      </c>
      <c r="F40" s="212">
        <f>C40*'E Transportation Factor Set'!C156*g_to_MT</f>
        <v>8.2528721999999988E-3</v>
      </c>
      <c r="G40" s="212">
        <f>C40*'E Transportation Factor Set'!D156*g_to_MT</f>
        <v>2.9406785999999997E-3</v>
      </c>
      <c r="H40" s="226">
        <f>E40+F40*CH4_GWP+G40*N2O_GWP</f>
        <v>133.81520025060004</v>
      </c>
      <c r="I40" s="142"/>
    </row>
    <row r="41" spans="1:25" ht="15" thickTop="1" x14ac:dyDescent="0.3">
      <c r="A41" s="1" t="s">
        <v>856</v>
      </c>
      <c r="B41" s="104"/>
      <c r="C41" s="26"/>
      <c r="D41" s="104"/>
      <c r="E41" s="142">
        <f>SUM(E39:E40)</f>
        <v>134.51891500000005</v>
      </c>
      <c r="F41" s="142">
        <f t="shared" ref="F41:H41" si="22">SUM(F39:F40)</f>
        <v>8.3870171999999993E-3</v>
      </c>
      <c r="G41" s="142">
        <f t="shared" si="22"/>
        <v>2.9853935999999996E-3</v>
      </c>
      <c r="H41" s="142">
        <f t="shared" si="22"/>
        <v>135.54488078560004</v>
      </c>
      <c r="I41" s="142"/>
    </row>
    <row r="43" spans="1:25" s="138" customFormat="1" ht="18" x14ac:dyDescent="0.35">
      <c r="A43" s="117" t="s">
        <v>45</v>
      </c>
      <c r="B43" s="117" t="s">
        <v>745</v>
      </c>
      <c r="C43" s="117"/>
      <c r="D43" s="117"/>
      <c r="E43" s="117"/>
      <c r="F43" s="117"/>
      <c r="G43" s="117"/>
      <c r="H43" s="117"/>
      <c r="I43" s="117"/>
      <c r="J43" s="117"/>
      <c r="K43" s="117"/>
      <c r="L43" s="117"/>
      <c r="M43" s="117"/>
      <c r="N43" s="117"/>
      <c r="O43" s="117"/>
      <c r="P43" s="117"/>
      <c r="Q43" s="117"/>
      <c r="R43" s="117"/>
      <c r="S43" s="117"/>
    </row>
    <row r="44" spans="1:25" s="140" customFormat="1" x14ac:dyDescent="0.3">
      <c r="A44" s="1" t="s">
        <v>22</v>
      </c>
      <c r="B44" s="1" t="s">
        <v>746</v>
      </c>
      <c r="C44" s="1" t="s">
        <v>27</v>
      </c>
      <c r="D44" s="1"/>
      <c r="E44" s="1" t="s">
        <v>712</v>
      </c>
      <c r="F44" s="1"/>
      <c r="G44" s="1"/>
      <c r="H44" s="1"/>
      <c r="I44" s="1" t="s">
        <v>747</v>
      </c>
      <c r="J44" s="1" t="s">
        <v>748</v>
      </c>
      <c r="K44" s="1" t="s">
        <v>749</v>
      </c>
      <c r="L44" s="1" t="s">
        <v>221</v>
      </c>
      <c r="M44" s="1" t="s">
        <v>222</v>
      </c>
      <c r="N44" s="1" t="s">
        <v>750</v>
      </c>
    </row>
    <row r="45" spans="1:25" x14ac:dyDescent="0.3">
      <c r="A45"/>
      <c r="B45"/>
      <c r="C45"/>
      <c r="D45"/>
      <c r="E45" s="3" t="s">
        <v>23</v>
      </c>
      <c r="F45" s="3" t="s">
        <v>24</v>
      </c>
      <c r="G45" s="3" t="s">
        <v>23</v>
      </c>
      <c r="H45" s="3" t="s">
        <v>24</v>
      </c>
      <c r="I45" s="3" t="s">
        <v>55</v>
      </c>
      <c r="J45" s="3" t="s">
        <v>55</v>
      </c>
      <c r="K45" s="3" t="s">
        <v>55</v>
      </c>
      <c r="L45" s="3" t="s">
        <v>751</v>
      </c>
      <c r="M45" s="3" t="s">
        <v>752</v>
      </c>
      <c r="N45" s="3" t="s">
        <v>5</v>
      </c>
    </row>
    <row r="46" spans="1:25" x14ac:dyDescent="0.3">
      <c r="A46" t="s">
        <v>753</v>
      </c>
      <c r="B46" t="s">
        <v>37</v>
      </c>
      <c r="C46" t="s">
        <v>36</v>
      </c>
      <c r="D46"/>
      <c r="E46" s="30">
        <f>HLOOKUP(ReportingYear,'I Transportation Data'!$41:$45,2)</f>
        <v>41843</v>
      </c>
      <c r="F46" s="30" t="s">
        <v>754</v>
      </c>
      <c r="G46" s="30">
        <f>HLOOKUP(ReportingYear,'I Transportation Data'!$41:$45,4)</f>
        <v>298535</v>
      </c>
      <c r="H46" s="30" t="s">
        <v>13</v>
      </c>
      <c r="I46" s="28">
        <f>E46*Diesel_EF</f>
        <v>427.21703000000002</v>
      </c>
      <c r="J46" s="28"/>
      <c r="K46" s="28">
        <f>SUM(I46:J46)</f>
        <v>427.21703000000002</v>
      </c>
      <c r="L46" s="74">
        <f>G46*Bus_CH4_EF*g_to_MT</f>
        <v>1.5225285000000002E-3</v>
      </c>
      <c r="M46" s="74">
        <f>G46*Bus_N2O_EF*g_to_MT</f>
        <v>1.4329679999999997E-3</v>
      </c>
      <c r="N46" s="28">
        <f t="shared" ref="N46:N54" si="23">K46+L46*CH4_GWP+M46*N2O_GWP</f>
        <v>427.63939731800002</v>
      </c>
    </row>
    <row r="47" spans="1:25" x14ac:dyDescent="0.3">
      <c r="A47" t="s">
        <v>753</v>
      </c>
      <c r="B47" t="s">
        <v>37</v>
      </c>
      <c r="C47" t="s">
        <v>38</v>
      </c>
      <c r="D47" s="18">
        <f>'I Transportation Data'!B43</f>
        <v>0.1</v>
      </c>
      <c r="E47" s="30">
        <f>HLOOKUP(ReportingYear,'I Transportation Data'!$41:$45,3)</f>
        <v>868931</v>
      </c>
      <c r="F47" s="30" t="s">
        <v>754</v>
      </c>
      <c r="G47" s="30">
        <f>HLOOKUP(ReportingYear,'I Transportation Data'!$41:$45,5)</f>
        <v>3785512</v>
      </c>
      <c r="H47" s="30" t="s">
        <v>13</v>
      </c>
      <c r="I47" s="28">
        <f>(1-D47)*E47*Diesel_EF</f>
        <v>7984.6069590000006</v>
      </c>
      <c r="J47" s="28">
        <f>D47*E47*Biodiesel_EF</f>
        <v>821.13979500000005</v>
      </c>
      <c r="K47" s="28">
        <f t="shared" ref="K47:K54" si="24">SUM(I47:J47)</f>
        <v>8805.7467539999998</v>
      </c>
      <c r="L47" s="29">
        <f>G47*Bus_CH4_EF*g_to_MT</f>
        <v>1.9306111200000003E-2</v>
      </c>
      <c r="M47" s="29">
        <f>G47*Bus_N2O_EF*g_to_MT</f>
        <v>1.8170457599999999E-2</v>
      </c>
      <c r="N47" s="28">
        <f t="shared" si="23"/>
        <v>8811.1024963775999</v>
      </c>
    </row>
    <row r="48" spans="1:25" x14ac:dyDescent="0.3">
      <c r="A48" t="s">
        <v>753</v>
      </c>
      <c r="B48" t="s">
        <v>41</v>
      </c>
      <c r="C48" t="str">
        <f>'I Transportation Data'!A50</f>
        <v>Ethanol</v>
      </c>
      <c r="D48" s="18">
        <f>'I Transportation Data'!B50</f>
        <v>0.85</v>
      </c>
      <c r="E48" s="30">
        <f>HLOOKUP(ReportingYear,'I Transportation Data'!$49:$57,2)</f>
        <v>15431</v>
      </c>
      <c r="F48" s="30" t="s">
        <v>754</v>
      </c>
      <c r="G48"/>
      <c r="H48"/>
      <c r="I48" s="28">
        <f>D48*E48*Ethanol_EF+(1-D48)*E48*Gasoline_EF</f>
        <v>95.741639499999991</v>
      </c>
      <c r="J48" s="28"/>
      <c r="K48" s="28">
        <f t="shared" si="24"/>
        <v>95.741639499999991</v>
      </c>
      <c r="L48"/>
      <c r="M48"/>
      <c r="N48" s="28">
        <f t="shared" si="23"/>
        <v>95.741639499999991</v>
      </c>
    </row>
    <row r="49" spans="1:19" x14ac:dyDescent="0.3">
      <c r="A49" t="s">
        <v>753</v>
      </c>
      <c r="B49" t="s">
        <v>41</v>
      </c>
      <c r="C49" t="str">
        <f>'I Transportation Data'!A51</f>
        <v>Ethanol</v>
      </c>
      <c r="D49" s="18">
        <f>'I Transportation Data'!B51</f>
        <v>0.7</v>
      </c>
      <c r="E49" s="30">
        <f>HLOOKUP(ReportingYear,'I Transportation Data'!$49:$57,3)</f>
        <v>20286</v>
      </c>
      <c r="F49" s="30" t="s">
        <v>754</v>
      </c>
      <c r="G49"/>
      <c r="H49"/>
      <c r="I49" s="28">
        <f>D49*E49*Ethanol_EF+(1-D49)*E49*Gasoline_EF</f>
        <v>135.084474</v>
      </c>
      <c r="J49" s="28"/>
      <c r="K49" s="28">
        <f t="shared" si="24"/>
        <v>135.084474</v>
      </c>
      <c r="L49"/>
      <c r="M49"/>
      <c r="N49" s="28">
        <f t="shared" si="23"/>
        <v>135.084474</v>
      </c>
    </row>
    <row r="50" spans="1:19" x14ac:dyDescent="0.3">
      <c r="A50" t="s">
        <v>753</v>
      </c>
      <c r="B50" t="s">
        <v>41</v>
      </c>
      <c r="C50" t="str">
        <f>'I Transportation Data'!A52</f>
        <v>Ethanol</v>
      </c>
      <c r="D50" s="18">
        <f>'I Transportation Data'!B52</f>
        <v>0.8</v>
      </c>
      <c r="E50" s="30">
        <f>HLOOKUP(ReportingYear,'I Transportation Data'!$49:$57,4)</f>
        <v>0</v>
      </c>
      <c r="F50" s="30" t="s">
        <v>754</v>
      </c>
      <c r="G50"/>
      <c r="H50"/>
      <c r="I50" s="28">
        <f>D50*E50*Ethanol_EF+(1-D50)*E50*Gasoline_EF</f>
        <v>0</v>
      </c>
      <c r="J50" s="28"/>
      <c r="K50" s="28">
        <f t="shared" si="24"/>
        <v>0</v>
      </c>
      <c r="L50"/>
      <c r="M50"/>
      <c r="N50" s="28">
        <f t="shared" si="23"/>
        <v>0</v>
      </c>
    </row>
    <row r="51" spans="1:19" x14ac:dyDescent="0.3">
      <c r="A51" t="s">
        <v>753</v>
      </c>
      <c r="B51" t="s">
        <v>41</v>
      </c>
      <c r="C51" t="str">
        <f>'I Transportation Data'!A53</f>
        <v>Biodiesel (20%)</v>
      </c>
      <c r="D51" s="18">
        <f>'I Transportation Data'!B53</f>
        <v>0.2</v>
      </c>
      <c r="E51" s="30">
        <f>HLOOKUP(ReportingYear,'I Transportation Data'!$49:$57,5)</f>
        <v>32362</v>
      </c>
      <c r="F51" s="30" t="s">
        <v>754</v>
      </c>
      <c r="G51"/>
      <c r="H51"/>
      <c r="I51" s="28">
        <f>(1-D51)*E51*Diesel_EF</f>
        <v>264.33281600000004</v>
      </c>
      <c r="J51" s="28">
        <f>E51*D51*Biodiesel_EF</f>
        <v>61.164180000000009</v>
      </c>
      <c r="K51" s="28">
        <f t="shared" si="24"/>
        <v>325.49699600000002</v>
      </c>
      <c r="L51"/>
      <c r="M51"/>
      <c r="N51" s="28">
        <f t="shared" si="23"/>
        <v>325.49699600000002</v>
      </c>
    </row>
    <row r="52" spans="1:19" x14ac:dyDescent="0.3">
      <c r="A52" t="s">
        <v>753</v>
      </c>
      <c r="B52" t="s">
        <v>41</v>
      </c>
      <c r="C52" t="str">
        <f>'I Transportation Data'!A54</f>
        <v>Biodiesel (5%)</v>
      </c>
      <c r="D52" s="18">
        <f>'I Transportation Data'!B54</f>
        <v>0.05</v>
      </c>
      <c r="E52" s="30">
        <f>HLOOKUP(ReportingYear,'I Transportation Data'!$49:$57,6)</f>
        <v>37628</v>
      </c>
      <c r="F52" s="30" t="s">
        <v>754</v>
      </c>
      <c r="G52"/>
      <c r="H52"/>
      <c r="I52" s="28">
        <f>(1-D52)*E52*Diesel_EF</f>
        <v>364.97278599999999</v>
      </c>
      <c r="J52" s="28">
        <f>E52*D52*Biodiesel_EF</f>
        <v>17.779230000000002</v>
      </c>
      <c r="K52" s="28">
        <f t="shared" si="24"/>
        <v>382.75201599999997</v>
      </c>
      <c r="L52"/>
      <c r="M52"/>
      <c r="N52" s="28">
        <f t="shared" si="23"/>
        <v>382.75201599999997</v>
      </c>
    </row>
    <row r="53" spans="1:19" x14ac:dyDescent="0.3">
      <c r="A53" t="s">
        <v>753</v>
      </c>
      <c r="B53" t="s">
        <v>41</v>
      </c>
      <c r="C53" t="str">
        <f>'I Transportation Data'!A55</f>
        <v>Diesel</v>
      </c>
      <c r="D53" s="18">
        <f>'I Transportation Data'!B55</f>
        <v>0</v>
      </c>
      <c r="E53" s="30">
        <f>HLOOKUP(ReportingYear,'I Transportation Data'!$49:$57,7)</f>
        <v>0</v>
      </c>
      <c r="F53" s="30" t="s">
        <v>754</v>
      </c>
      <c r="G53"/>
      <c r="H53"/>
      <c r="I53" s="28">
        <f>E53*Diesel_EF</f>
        <v>0</v>
      </c>
      <c r="J53" s="28"/>
      <c r="K53" s="28">
        <f t="shared" si="24"/>
        <v>0</v>
      </c>
      <c r="L53"/>
      <c r="M53"/>
      <c r="N53" s="28">
        <f t="shared" si="23"/>
        <v>0</v>
      </c>
    </row>
    <row r="54" spans="1:19" ht="15" thickBot="1" x14ac:dyDescent="0.35">
      <c r="A54" s="31" t="s">
        <v>753</v>
      </c>
      <c r="B54" s="31" t="s">
        <v>41</v>
      </c>
      <c r="C54" s="31" t="str">
        <f>'I Transportation Data'!A56</f>
        <v>Gasoline</v>
      </c>
      <c r="D54" s="211">
        <f>'I Transportation Data'!B56</f>
        <v>0</v>
      </c>
      <c r="E54" s="32">
        <f>HLOOKUP(ReportingYear,'I Transportation Data'!$49:$57,8)</f>
        <v>352661</v>
      </c>
      <c r="F54" s="32" t="s">
        <v>754</v>
      </c>
      <c r="G54" s="31"/>
      <c r="H54" s="31"/>
      <c r="I54" s="34">
        <f>E54*Gasoline_EF</f>
        <v>3096.3635799999997</v>
      </c>
      <c r="J54" s="34"/>
      <c r="K54" s="34">
        <f t="shared" si="24"/>
        <v>3096.3635799999997</v>
      </c>
      <c r="L54" s="31"/>
      <c r="M54" s="31"/>
      <c r="N54" s="34">
        <f t="shared" si="23"/>
        <v>3096.3635799999997</v>
      </c>
    </row>
    <row r="55" spans="1:19" ht="15" thickTop="1" x14ac:dyDescent="0.3">
      <c r="A55" s="1" t="s">
        <v>85</v>
      </c>
      <c r="B55"/>
      <c r="C55"/>
      <c r="D55" s="30"/>
      <c r="E55"/>
      <c r="F55"/>
      <c r="G55"/>
      <c r="H55"/>
      <c r="I55"/>
      <c r="J55"/>
      <c r="K55"/>
      <c r="L55"/>
      <c r="M55"/>
      <c r="N55" s="28">
        <f>SUM(N46:N54)</f>
        <v>13274.180599195599</v>
      </c>
    </row>
    <row r="57" spans="1:19" s="138" customFormat="1" ht="18" x14ac:dyDescent="0.35">
      <c r="A57" s="117" t="s">
        <v>50</v>
      </c>
      <c r="B57" s="117" t="s">
        <v>755</v>
      </c>
      <c r="C57" s="117"/>
      <c r="D57" s="117"/>
      <c r="E57" s="117"/>
      <c r="F57" s="117"/>
      <c r="G57" s="117"/>
      <c r="H57" s="117"/>
      <c r="I57" s="117"/>
      <c r="J57" s="117"/>
      <c r="K57" s="117"/>
      <c r="L57" s="117"/>
      <c r="M57" s="117"/>
      <c r="N57" s="117"/>
      <c r="O57" s="117"/>
      <c r="P57" s="117"/>
      <c r="Q57" s="117"/>
      <c r="R57" s="117"/>
      <c r="S57" s="117"/>
    </row>
    <row r="58" spans="1:19" s="140" customFormat="1" x14ac:dyDescent="0.3">
      <c r="A58" s="1" t="s">
        <v>22</v>
      </c>
      <c r="B58" s="1" t="s">
        <v>756</v>
      </c>
      <c r="C58" s="1" t="s">
        <v>27</v>
      </c>
      <c r="D58" s="1" t="s">
        <v>712</v>
      </c>
      <c r="E58" s="1"/>
      <c r="F58" s="1" t="s">
        <v>136</v>
      </c>
      <c r="G58" s="1" t="s">
        <v>221</v>
      </c>
      <c r="H58" s="1" t="s">
        <v>222</v>
      </c>
      <c r="I58" s="1" t="s">
        <v>4</v>
      </c>
      <c r="J58" s="143"/>
    </row>
    <row r="59" spans="1:19" x14ac:dyDescent="0.3">
      <c r="A59"/>
      <c r="B59"/>
      <c r="C59"/>
      <c r="D59" s="3" t="s">
        <v>23</v>
      </c>
      <c r="E59" s="3" t="s">
        <v>24</v>
      </c>
      <c r="F59" t="s">
        <v>55</v>
      </c>
      <c r="G59" t="s">
        <v>751</v>
      </c>
      <c r="H59" t="s">
        <v>752</v>
      </c>
      <c r="I59" t="s">
        <v>5</v>
      </c>
      <c r="J59" s="141"/>
    </row>
    <row r="60" spans="1:19" x14ac:dyDescent="0.3">
      <c r="A60" t="s">
        <v>753</v>
      </c>
      <c r="B60" t="s">
        <v>757</v>
      </c>
      <c r="C60" t="str">
        <f>'I Transportation Data'!A73</f>
        <v>Jet A Fuel (gal)</v>
      </c>
      <c r="D60" s="30">
        <f>'I Transportation Data'!B73</f>
        <v>150443</v>
      </c>
      <c r="E60" t="s">
        <v>754</v>
      </c>
      <c r="F60" s="28">
        <f>D60*JetFuel_EF</f>
        <v>1466.81925</v>
      </c>
      <c r="G60" s="28">
        <f>D60*'E Transportation Factor Set'!B143*g_to_MT</f>
        <v>0</v>
      </c>
      <c r="H60" s="29">
        <f>D60*'E Transportation Factor Set'!C143*g_to_MT</f>
        <v>4.5132899999999997E-2</v>
      </c>
      <c r="I60" s="28">
        <f>F60+G60*CH4_GWP+H60*N2O_GWP</f>
        <v>1478.7794685000001</v>
      </c>
      <c r="J60" s="163"/>
    </row>
    <row r="61" spans="1:19" ht="15" thickBot="1" x14ac:dyDescent="0.35">
      <c r="A61" s="31" t="s">
        <v>753</v>
      </c>
      <c r="B61" s="31" t="s">
        <v>757</v>
      </c>
      <c r="C61" s="31" t="str">
        <f>'I Transportation Data'!A74</f>
        <v>Avgas Fuel (gal)</v>
      </c>
      <c r="D61" s="32">
        <f>'I Transportation Data'!B74</f>
        <v>156463</v>
      </c>
      <c r="E61" s="31" t="s">
        <v>754</v>
      </c>
      <c r="F61" s="34">
        <f>D61*AvGas_EF</f>
        <v>1300.2075300000001</v>
      </c>
      <c r="G61" s="210">
        <f>D61*'E Transportation Factor Set'!B144*g_to_MT</f>
        <v>1.1046287800000001</v>
      </c>
      <c r="H61" s="210">
        <f>D61*'E Transportation Factor Set'!C144*g_to_MT</f>
        <v>1.7210929999999999E-2</v>
      </c>
      <c r="I61" s="34">
        <f>F61+G61*CH4_GWP+H61*N2O_GWP</f>
        <v>1335.6980322900001</v>
      </c>
      <c r="J61" s="163"/>
    </row>
    <row r="62" spans="1:19" ht="15" thickTop="1" x14ac:dyDescent="0.3">
      <c r="A62" s="1" t="s">
        <v>85</v>
      </c>
      <c r="B62"/>
      <c r="C62"/>
      <c r="D62"/>
      <c r="E62"/>
      <c r="F62" s="28">
        <f>SUM(F60:F61)</f>
        <v>2767.0267800000001</v>
      </c>
      <c r="G62" s="29">
        <f t="shared" ref="G62:I62" si="25">SUM(G60:G61)</f>
        <v>1.1046287800000001</v>
      </c>
      <c r="H62" s="29">
        <f t="shared" si="25"/>
        <v>6.2343829999999996E-2</v>
      </c>
      <c r="I62" s="28">
        <f t="shared" si="25"/>
        <v>2814.4775007900002</v>
      </c>
      <c r="J62" s="163"/>
    </row>
  </sheetData>
  <dataValidations disablePrompts="1" count="1">
    <dataValidation allowBlank="1" showErrorMessage="1" promptTitle="Input" prompt="VMT type" sqref="B6:B10 B27:B33" xr:uid="{00000000-0002-0000-0C00-000000000000}"/>
  </dataValidations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1B18C4-60CD-4D23-ADAC-C54580161593}">
  <sheetPr codeName="Sheet23">
    <tabColor theme="7"/>
  </sheetPr>
  <dimension ref="A1:D110"/>
  <sheetViews>
    <sheetView workbookViewId="0">
      <selection activeCell="D62" sqref="D62"/>
    </sheetView>
  </sheetViews>
  <sheetFormatPr defaultRowHeight="14.4" x14ac:dyDescent="0.3"/>
  <cols>
    <col min="1" max="2" width="8.88671875" style="133"/>
    <col min="3" max="3" width="68.44140625" style="133" bestFit="1" customWidth="1"/>
    <col min="4" max="4" width="18.33203125" style="133" bestFit="1" customWidth="1"/>
    <col min="5" max="9" width="8.88671875" style="133"/>
    <col min="10" max="10" width="13.5546875" style="133" bestFit="1" customWidth="1"/>
    <col min="11" max="11" width="8.88671875" style="133"/>
    <col min="12" max="12" width="11.109375" style="133" bestFit="1" customWidth="1"/>
    <col min="13" max="16384" width="8.88671875" style="133"/>
  </cols>
  <sheetData>
    <row r="1" spans="1:4" ht="24" thickBot="1" x14ac:dyDescent="0.5">
      <c r="A1" s="89" t="s">
        <v>1289</v>
      </c>
      <c r="B1" s="89"/>
      <c r="C1" s="89"/>
      <c r="D1" s="89"/>
    </row>
    <row r="2" spans="1:4" ht="15" thickTop="1" x14ac:dyDescent="0.3">
      <c r="A2" s="207"/>
      <c r="B2" s="207"/>
      <c r="C2"/>
      <c r="D2"/>
    </row>
    <row r="3" spans="1:4" x14ac:dyDescent="0.3">
      <c r="A3" s="207"/>
      <c r="B3" s="207"/>
      <c r="C3" s="1" t="s">
        <v>61</v>
      </c>
      <c r="D3" s="88">
        <f>ReportingYear</f>
        <v>2019</v>
      </c>
    </row>
    <row r="4" spans="1:4" x14ac:dyDescent="0.3">
      <c r="A4" s="207"/>
      <c r="B4" s="207"/>
      <c r="C4" s="1" t="s">
        <v>2</v>
      </c>
      <c r="D4" s="30">
        <f>HLOOKUP(ReportingYear,'A Community Indicators Data'!6:11,2)</f>
        <v>120641</v>
      </c>
    </row>
    <row r="5" spans="1:4" x14ac:dyDescent="0.3">
      <c r="A5" s="207"/>
      <c r="B5" s="207"/>
      <c r="C5" s="1" t="s">
        <v>3</v>
      </c>
      <c r="D5" s="30">
        <f>HLOOKUP(ReportingYear,'A Community Indicators Data'!15:20,2)</f>
        <v>47791</v>
      </c>
    </row>
    <row r="6" spans="1:4" x14ac:dyDescent="0.3">
      <c r="A6" s="207"/>
      <c r="B6" s="207"/>
      <c r="C6"/>
      <c r="D6"/>
    </row>
    <row r="7" spans="1:4" x14ac:dyDescent="0.3">
      <c r="A7" s="131" t="s">
        <v>1338</v>
      </c>
      <c r="B7" s="131" t="s">
        <v>22</v>
      </c>
      <c r="C7" s="16" t="s">
        <v>21</v>
      </c>
      <c r="D7" s="84" t="s">
        <v>4</v>
      </c>
    </row>
    <row r="8" spans="1:4" ht="15" thickBot="1" x14ac:dyDescent="0.35">
      <c r="A8" s="207"/>
      <c r="B8" s="207"/>
      <c r="C8" s="33"/>
      <c r="D8" s="85" t="s">
        <v>5</v>
      </c>
    </row>
    <row r="9" spans="1:4" ht="21" thickTop="1" thickBot="1" x14ac:dyDescent="0.45">
      <c r="A9" s="207"/>
      <c r="B9" s="207"/>
      <c r="C9" s="99" t="s">
        <v>876</v>
      </c>
      <c r="D9" s="99"/>
    </row>
    <row r="10" spans="1:4" ht="18.600000000000001" thickTop="1" thickBot="1" x14ac:dyDescent="0.4">
      <c r="A10" s="207"/>
      <c r="B10" s="207"/>
      <c r="C10" s="80" t="s">
        <v>85</v>
      </c>
      <c r="D10" s="91">
        <f>SUM(D12,D46,D61)</f>
        <v>2110161.4183177962</v>
      </c>
    </row>
    <row r="11" spans="1:4" ht="15" thickTop="1" x14ac:dyDescent="0.3">
      <c r="D11" s="191"/>
    </row>
    <row r="12" spans="1:4" ht="18" thickBot="1" x14ac:dyDescent="0.4">
      <c r="A12" s="227" t="s">
        <v>1339</v>
      </c>
      <c r="B12" s="227"/>
      <c r="C12" s="80" t="s">
        <v>801</v>
      </c>
      <c r="D12" s="86">
        <f>SUM(D13,D20,D33)</f>
        <v>1428695.8761611276</v>
      </c>
    </row>
    <row r="13" spans="1:4" ht="15.6" thickTop="1" thickBot="1" x14ac:dyDescent="0.35">
      <c r="A13" s="290" t="s">
        <v>805</v>
      </c>
      <c r="B13" s="81"/>
      <c r="C13" s="81" t="s">
        <v>804</v>
      </c>
      <c r="D13" s="90">
        <f>SUM(D14,D17,D18)</f>
        <v>430399.39179329359</v>
      </c>
    </row>
    <row r="14" spans="1:4" x14ac:dyDescent="0.3">
      <c r="A14" s="291" t="s">
        <v>802</v>
      </c>
      <c r="B14" s="131">
        <v>1</v>
      </c>
      <c r="C14" s="96" t="s">
        <v>859</v>
      </c>
      <c r="D14" s="21">
        <f>SUM(D15:D16)</f>
        <v>209337.50773514275</v>
      </c>
    </row>
    <row r="15" spans="1:4" x14ac:dyDescent="0.3">
      <c r="A15" s="207"/>
      <c r="B15" s="207"/>
      <c r="C15" s="95" t="s">
        <v>807</v>
      </c>
      <c r="D15" s="30">
        <f>'Built Environment Emissions'!E7</f>
        <v>209306.94055107818</v>
      </c>
    </row>
    <row r="16" spans="1:4" x14ac:dyDescent="0.3">
      <c r="A16" s="207"/>
      <c r="B16" s="207"/>
      <c r="C16" s="95" t="s">
        <v>808</v>
      </c>
      <c r="D16" s="30">
        <f>'Built Environment Emissions'!E6</f>
        <v>30.567184064568739</v>
      </c>
    </row>
    <row r="17" spans="1:4" x14ac:dyDescent="0.3">
      <c r="A17" s="291" t="s">
        <v>1340</v>
      </c>
      <c r="B17" s="131">
        <v>2</v>
      </c>
      <c r="C17" s="96" t="s">
        <v>811</v>
      </c>
      <c r="D17" s="21">
        <f>'Built Environment Emissions'!D24</f>
        <v>211518.27336294393</v>
      </c>
    </row>
    <row r="18" spans="1:4" x14ac:dyDescent="0.3">
      <c r="A18" s="291" t="s">
        <v>1341</v>
      </c>
      <c r="B18" s="131">
        <v>3</v>
      </c>
      <c r="C18" s="96" t="s">
        <v>812</v>
      </c>
      <c r="D18" s="21">
        <f>'Built Environment Emissions'!E39</f>
        <v>9543.6106952069349</v>
      </c>
    </row>
    <row r="19" spans="1:4" x14ac:dyDescent="0.3">
      <c r="C19" s="239"/>
      <c r="D19" s="191"/>
    </row>
    <row r="20" spans="1:4" ht="15" thickBot="1" x14ac:dyDescent="0.35">
      <c r="A20" s="290" t="s">
        <v>806</v>
      </c>
      <c r="B20" s="81"/>
      <c r="C20" s="81" t="s">
        <v>982</v>
      </c>
      <c r="D20" s="90">
        <f>SUM(D21,D26,D29)</f>
        <v>980088.14622962568</v>
      </c>
    </row>
    <row r="21" spans="1:4" x14ac:dyDescent="0.3">
      <c r="A21" s="291" t="s">
        <v>803</v>
      </c>
      <c r="B21" s="131">
        <v>1</v>
      </c>
      <c r="C21" s="96" t="s">
        <v>983</v>
      </c>
      <c r="D21" s="21">
        <f>SUM(D22:D25)</f>
        <v>351634.19285198575</v>
      </c>
    </row>
    <row r="22" spans="1:4" x14ac:dyDescent="0.3">
      <c r="A22" s="207"/>
      <c r="B22" s="207"/>
      <c r="C22" s="95" t="s">
        <v>1286</v>
      </c>
      <c r="D22" s="30">
        <f>'Built Environment Emissions'!E10</f>
        <v>78383.737189796637</v>
      </c>
    </row>
    <row r="23" spans="1:4" x14ac:dyDescent="0.3">
      <c r="A23" s="207"/>
      <c r="B23" s="207"/>
      <c r="C23" s="95" t="s">
        <v>1285</v>
      </c>
      <c r="D23" s="30">
        <f>'Built Environment Emissions'!E13</f>
        <v>270165.43819038599</v>
      </c>
    </row>
    <row r="24" spans="1:4" x14ac:dyDescent="0.3">
      <c r="A24" s="207"/>
      <c r="B24" s="207"/>
      <c r="C24" s="95" t="s">
        <v>1287</v>
      </c>
      <c r="D24" s="30">
        <f>'Built Environment Emissions'!E14</f>
        <v>2863.8734969331549</v>
      </c>
    </row>
    <row r="25" spans="1:4" x14ac:dyDescent="0.3">
      <c r="A25" s="131"/>
      <c r="B25" s="131"/>
      <c r="C25" s="95" t="s">
        <v>1288</v>
      </c>
      <c r="D25" s="30">
        <f>'Built Environment Emissions'!E15</f>
        <v>221.14397487000002</v>
      </c>
    </row>
    <row r="26" spans="1:4" x14ac:dyDescent="0.3">
      <c r="A26" s="291" t="s">
        <v>815</v>
      </c>
      <c r="B26" s="131">
        <v>2</v>
      </c>
      <c r="C26" s="96" t="s">
        <v>984</v>
      </c>
      <c r="D26" s="21">
        <f>SUM(D27:D28)</f>
        <v>601322.54672898317</v>
      </c>
    </row>
    <row r="27" spans="1:4" x14ac:dyDescent="0.3">
      <c r="A27" s="207"/>
      <c r="B27" s="207"/>
      <c r="C27" s="95" t="s">
        <v>882</v>
      </c>
      <c r="D27" s="30">
        <f>'Built Environment Emissions'!D26</f>
        <v>258747.0894241434</v>
      </c>
    </row>
    <row r="28" spans="1:4" x14ac:dyDescent="0.3">
      <c r="A28" s="207"/>
      <c r="B28" s="207"/>
      <c r="C28" s="95" t="s">
        <v>813</v>
      </c>
      <c r="D28" s="30">
        <f>'Built Environment Emissions'!D29</f>
        <v>342575.45730483974</v>
      </c>
    </row>
    <row r="29" spans="1:4" x14ac:dyDescent="0.3">
      <c r="A29" s="291" t="s">
        <v>816</v>
      </c>
      <c r="B29" s="131">
        <v>3</v>
      </c>
      <c r="C29" s="96" t="s">
        <v>985</v>
      </c>
      <c r="D29" s="21">
        <f>SUM(D30:D31)</f>
        <v>27131.406648656855</v>
      </c>
    </row>
    <row r="30" spans="1:4" x14ac:dyDescent="0.3">
      <c r="A30" s="207"/>
      <c r="B30" s="207"/>
      <c r="C30" s="95" t="s">
        <v>883</v>
      </c>
      <c r="D30" s="30">
        <f>'Built Environment Emissions'!B26*Grid_LossFactor*Grid_EF</f>
        <v>11674.553932012823</v>
      </c>
    </row>
    <row r="31" spans="1:4" x14ac:dyDescent="0.3">
      <c r="A31" s="207"/>
      <c r="B31" s="207"/>
      <c r="C31" s="95" t="s">
        <v>814</v>
      </c>
      <c r="D31" s="30">
        <f>'H Built Environment Data'!B9*Grid_LossFactor*Grid_EF</f>
        <v>15456.852716644033</v>
      </c>
    </row>
    <row r="32" spans="1:4" x14ac:dyDescent="0.3">
      <c r="C32" s="241"/>
      <c r="D32" s="191"/>
    </row>
    <row r="33" spans="1:4" ht="15" thickBot="1" x14ac:dyDescent="0.35">
      <c r="A33" s="290" t="s">
        <v>822</v>
      </c>
      <c r="B33" s="81"/>
      <c r="C33" s="82" t="s">
        <v>823</v>
      </c>
      <c r="D33" s="90">
        <f>D34</f>
        <v>18208.338138208186</v>
      </c>
    </row>
    <row r="34" spans="1:4" x14ac:dyDescent="0.3">
      <c r="A34" s="291" t="s">
        <v>824</v>
      </c>
      <c r="B34" s="131">
        <v>1</v>
      </c>
      <c r="C34" s="96" t="s">
        <v>857</v>
      </c>
      <c r="D34" s="30">
        <f>'Built Environment Emissions'!F50</f>
        <v>18208.338138208186</v>
      </c>
    </row>
    <row r="35" spans="1:4" x14ac:dyDescent="0.3">
      <c r="C35" s="240"/>
      <c r="D35" s="191"/>
    </row>
    <row r="36" spans="1:4" x14ac:dyDescent="0.3">
      <c r="A36" s="207"/>
      <c r="B36" s="207"/>
      <c r="C36" s="246" t="s">
        <v>860</v>
      </c>
      <c r="D36" s="30"/>
    </row>
    <row r="37" spans="1:4" x14ac:dyDescent="0.3">
      <c r="A37" s="207"/>
      <c r="B37" s="207"/>
      <c r="C37" s="94" t="s">
        <v>721</v>
      </c>
      <c r="D37" s="30">
        <f>SUM(D14,D21,D33)</f>
        <v>579180.03872533666</v>
      </c>
    </row>
    <row r="38" spans="1:4" x14ac:dyDescent="0.3">
      <c r="A38" s="207"/>
      <c r="B38" s="207"/>
      <c r="C38" s="94" t="s">
        <v>817</v>
      </c>
      <c r="D38" s="30">
        <f>SUM(D17,D18,D26,D29)</f>
        <v>849515.8374357908</v>
      </c>
    </row>
    <row r="39" spans="1:4" x14ac:dyDescent="0.3">
      <c r="C39" s="240"/>
      <c r="D39" s="191"/>
    </row>
    <row r="40" spans="1:4" ht="15" thickBot="1" x14ac:dyDescent="0.35">
      <c r="A40" s="207"/>
      <c r="B40" s="207"/>
      <c r="C40" s="246" t="s">
        <v>884</v>
      </c>
      <c r="D40" s="90">
        <f>SUM(D22,D27,D30)</f>
        <v>348805.38054595288</v>
      </c>
    </row>
    <row r="41" spans="1:4" ht="15" thickBot="1" x14ac:dyDescent="0.35">
      <c r="A41" s="207"/>
      <c r="B41" s="207"/>
      <c r="C41" s="246" t="s">
        <v>885</v>
      </c>
      <c r="D41" s="90">
        <f>SUM(D23,D28,D31)</f>
        <v>628197.74821186974</v>
      </c>
    </row>
    <row r="43" spans="1:4" ht="15" thickBot="1" x14ac:dyDescent="0.35">
      <c r="A43" s="207"/>
      <c r="B43" s="207"/>
      <c r="C43" s="246" t="s">
        <v>861</v>
      </c>
      <c r="D43" s="90">
        <f>D44</f>
        <v>42740.861892569999</v>
      </c>
    </row>
    <row r="44" spans="1:4" x14ac:dyDescent="0.3">
      <c r="A44" s="207"/>
      <c r="B44" s="207"/>
      <c r="C44" s="96" t="s">
        <v>862</v>
      </c>
      <c r="D44" s="30">
        <f>'Built Environment Emissions'!E59</f>
        <v>42740.861892569999</v>
      </c>
    </row>
    <row r="45" spans="1:4" x14ac:dyDescent="0.3">
      <c r="D45" s="191"/>
    </row>
    <row r="46" spans="1:4" ht="18" thickBot="1" x14ac:dyDescent="0.4">
      <c r="A46" s="227" t="s">
        <v>1342</v>
      </c>
      <c r="B46" s="227"/>
      <c r="C46" s="83" t="s">
        <v>825</v>
      </c>
      <c r="D46" s="91">
        <f>SUM(D47,D54,D58)</f>
        <v>642823.17906095169</v>
      </c>
    </row>
    <row r="47" spans="1:4" ht="15.6" thickTop="1" thickBot="1" x14ac:dyDescent="0.35">
      <c r="A47" s="290" t="s">
        <v>1343</v>
      </c>
      <c r="B47" s="81"/>
      <c r="C47" s="82" t="s">
        <v>1344</v>
      </c>
      <c r="D47" s="90">
        <f>SUM(D52,D48)</f>
        <v>639873.15667937603</v>
      </c>
    </row>
    <row r="48" spans="1:4" x14ac:dyDescent="0.3">
      <c r="A48" s="292" t="s">
        <v>1343</v>
      </c>
      <c r="B48" s="131"/>
      <c r="C48" s="96" t="s">
        <v>858</v>
      </c>
      <c r="D48" s="21">
        <f>SUM(D49:D51)</f>
        <v>612156.71364850458</v>
      </c>
    </row>
    <row r="49" spans="1:4" x14ac:dyDescent="0.3">
      <c r="A49" s="279" t="s">
        <v>826</v>
      </c>
      <c r="B49" s="207">
        <v>1</v>
      </c>
      <c r="C49" s="95" t="s">
        <v>864</v>
      </c>
      <c r="D49" s="30">
        <f>'Transportation Emissions'!S9</f>
        <v>320559.87062965671</v>
      </c>
    </row>
    <row r="50" spans="1:4" x14ac:dyDescent="0.3">
      <c r="A50" s="279" t="s">
        <v>827</v>
      </c>
      <c r="B50" s="207">
        <v>3</v>
      </c>
      <c r="C50" s="95" t="s">
        <v>865</v>
      </c>
      <c r="D50" s="30">
        <f>'Transportation Emissions'!S11</f>
        <v>278322.66241965228</v>
      </c>
    </row>
    <row r="51" spans="1:4" x14ac:dyDescent="0.3">
      <c r="A51" s="279" t="s">
        <v>826</v>
      </c>
      <c r="B51" s="207">
        <v>1</v>
      </c>
      <c r="C51" s="95" t="s">
        <v>281</v>
      </c>
      <c r="D51" s="30">
        <f>'Transportation Emissions'!N55</f>
        <v>13274.180599195599</v>
      </c>
    </row>
    <row r="52" spans="1:4" x14ac:dyDescent="0.3">
      <c r="A52" s="291" t="s">
        <v>826</v>
      </c>
      <c r="B52" s="131">
        <v>1</v>
      </c>
      <c r="C52" s="96" t="s">
        <v>863</v>
      </c>
      <c r="D52" s="21">
        <f>'Transportation Emissions'!S34</f>
        <v>27716.443030871407</v>
      </c>
    </row>
    <row r="53" spans="1:4" x14ac:dyDescent="0.3">
      <c r="C53" s="239"/>
    </row>
    <row r="54" spans="1:4" ht="15" thickBot="1" x14ac:dyDescent="0.35">
      <c r="A54" s="290" t="s">
        <v>1345</v>
      </c>
      <c r="B54" s="81"/>
      <c r="C54" s="82" t="s">
        <v>828</v>
      </c>
      <c r="D54" s="90">
        <f>SUM(D55:D56)</f>
        <v>135.54488078560004</v>
      </c>
    </row>
    <row r="55" spans="1:4" x14ac:dyDescent="0.3">
      <c r="A55" s="291" t="s">
        <v>829</v>
      </c>
      <c r="B55" s="131">
        <v>1</v>
      </c>
      <c r="C55" s="96" t="s">
        <v>866</v>
      </c>
      <c r="D55" s="30">
        <f>'Transportation Emissions'!H39</f>
        <v>1.729680535</v>
      </c>
    </row>
    <row r="56" spans="1:4" x14ac:dyDescent="0.3">
      <c r="A56" s="291" t="s">
        <v>829</v>
      </c>
      <c r="B56" s="131">
        <v>1</v>
      </c>
      <c r="C56" s="96" t="s">
        <v>867</v>
      </c>
      <c r="D56" s="30">
        <f>'Transportation Emissions'!H40</f>
        <v>133.81520025060004</v>
      </c>
    </row>
    <row r="57" spans="1:4" x14ac:dyDescent="0.3">
      <c r="C57" s="239"/>
      <c r="D57" s="191"/>
    </row>
    <row r="58" spans="1:4" ht="15" thickBot="1" x14ac:dyDescent="0.35">
      <c r="A58" s="290" t="s">
        <v>1346</v>
      </c>
      <c r="B58" s="81"/>
      <c r="C58" s="82" t="s">
        <v>830</v>
      </c>
      <c r="D58" s="90">
        <f>D59</f>
        <v>2814.4775007900002</v>
      </c>
    </row>
    <row r="59" spans="1:4" x14ac:dyDescent="0.3">
      <c r="A59" s="291" t="s">
        <v>831</v>
      </c>
      <c r="B59" s="131">
        <v>1</v>
      </c>
      <c r="C59" s="96" t="s">
        <v>832</v>
      </c>
      <c r="D59" s="30">
        <f>'Transportation Emissions'!I62</f>
        <v>2814.4775007900002</v>
      </c>
    </row>
    <row r="60" spans="1:4" x14ac:dyDescent="0.3">
      <c r="D60" s="191"/>
    </row>
    <row r="61" spans="1:4" ht="18" thickBot="1" x14ac:dyDescent="0.4">
      <c r="A61" s="227" t="s">
        <v>1347</v>
      </c>
      <c r="B61" s="227"/>
      <c r="C61" s="83" t="s">
        <v>833</v>
      </c>
      <c r="D61" s="91">
        <f>SUM(D62,D69,D72)</f>
        <v>38642.363095717126</v>
      </c>
    </row>
    <row r="62" spans="1:4" ht="15.6" thickTop="1" thickBot="1" x14ac:dyDescent="0.35">
      <c r="A62" s="290" t="s">
        <v>1348</v>
      </c>
      <c r="B62" s="81"/>
      <c r="C62" s="82" t="s">
        <v>835</v>
      </c>
      <c r="D62" s="90">
        <f>SUM(D63,D64,D67)</f>
        <v>36732.394448715</v>
      </c>
    </row>
    <row r="63" spans="1:4" x14ac:dyDescent="0.3">
      <c r="A63" s="291" t="s">
        <v>834</v>
      </c>
      <c r="B63" s="131">
        <v>1</v>
      </c>
      <c r="C63" s="96" t="s">
        <v>868</v>
      </c>
      <c r="D63" s="30">
        <f>'Solid Waste Emissions'!B13</f>
        <v>19941</v>
      </c>
    </row>
    <row r="64" spans="1:4" x14ac:dyDescent="0.3">
      <c r="A64" s="291" t="s">
        <v>836</v>
      </c>
      <c r="B64" s="131">
        <v>3</v>
      </c>
      <c r="C64" s="96" t="s">
        <v>869</v>
      </c>
      <c r="D64" s="30">
        <f>'Solid Waste Emissions'!E8</f>
        <v>15970.320248715001</v>
      </c>
    </row>
    <row r="65" spans="1:4" x14ac:dyDescent="0.3">
      <c r="A65" s="207"/>
      <c r="B65" s="207"/>
      <c r="C65" s="95" t="s">
        <v>871</v>
      </c>
      <c r="D65" s="30">
        <f>'Solid Waste Emissions'!E6</f>
        <v>4825.4351898689993</v>
      </c>
    </row>
    <row r="66" spans="1:4" x14ac:dyDescent="0.3">
      <c r="A66" s="207"/>
      <c r="B66" s="207"/>
      <c r="C66" s="95" t="s">
        <v>872</v>
      </c>
      <c r="D66" s="30">
        <f>'Solid Waste Emissions'!E7</f>
        <v>11144.885058846001</v>
      </c>
    </row>
    <row r="67" spans="1:4" ht="15" thickBot="1" x14ac:dyDescent="0.35">
      <c r="A67" s="290" t="s">
        <v>1349</v>
      </c>
      <c r="B67" s="81">
        <v>3</v>
      </c>
      <c r="C67" s="96" t="s">
        <v>870</v>
      </c>
      <c r="D67" s="30">
        <f>'Solid Waste Emissions'!C18</f>
        <v>821.07420000000002</v>
      </c>
    </row>
    <row r="68" spans="1:4" x14ac:dyDescent="0.3">
      <c r="C68" s="239"/>
      <c r="D68" s="191"/>
    </row>
    <row r="69" spans="1:4" ht="15" thickBot="1" x14ac:dyDescent="0.35">
      <c r="A69" s="290" t="s">
        <v>1350</v>
      </c>
      <c r="B69" s="81"/>
      <c r="C69" s="82" t="s">
        <v>837</v>
      </c>
      <c r="D69" s="90">
        <f>D70</f>
        <v>890.51566136000008</v>
      </c>
    </row>
    <row r="70" spans="1:4" x14ac:dyDescent="0.3">
      <c r="A70" s="291" t="s">
        <v>838</v>
      </c>
      <c r="B70" s="131">
        <v>1</v>
      </c>
      <c r="C70" s="96" t="s">
        <v>839</v>
      </c>
      <c r="D70" s="30">
        <f>'Solid Waste Emissions'!F23</f>
        <v>890.51566136000008</v>
      </c>
    </row>
    <row r="71" spans="1:4" x14ac:dyDescent="0.3">
      <c r="C71" s="239"/>
      <c r="D71" s="191"/>
    </row>
    <row r="72" spans="1:4" ht="15" thickBot="1" x14ac:dyDescent="0.35">
      <c r="A72" s="290" t="s">
        <v>1351</v>
      </c>
      <c r="B72" s="81"/>
      <c r="C72" s="82" t="s">
        <v>840</v>
      </c>
      <c r="D72" s="90">
        <f>D73</f>
        <v>1019.4529856421319</v>
      </c>
    </row>
    <row r="73" spans="1:4" x14ac:dyDescent="0.3">
      <c r="A73" s="291" t="s">
        <v>841</v>
      </c>
      <c r="B73" s="131">
        <v>1</v>
      </c>
      <c r="C73" s="96" t="s">
        <v>842</v>
      </c>
      <c r="D73" s="30">
        <f>'Wastewater Emissions'!E7+'Wastewater Emissions'!E13</f>
        <v>1019.4529856421319</v>
      </c>
    </row>
    <row r="74" spans="1:4" x14ac:dyDescent="0.3">
      <c r="C74" s="239"/>
      <c r="D74" s="191"/>
    </row>
    <row r="75" spans="1:4" x14ac:dyDescent="0.3">
      <c r="C75" s="239"/>
      <c r="D75" s="191"/>
    </row>
    <row r="77" spans="1:4" ht="20.399999999999999" thickBot="1" x14ac:dyDescent="0.45">
      <c r="C77" s="99" t="s">
        <v>875</v>
      </c>
      <c r="D77" s="99"/>
    </row>
    <row r="78" spans="1:4" ht="18.600000000000001" thickTop="1" thickBot="1" x14ac:dyDescent="0.4">
      <c r="C78" s="80" t="s">
        <v>873</v>
      </c>
      <c r="D78" s="91">
        <f>SUM(D80,D99,D105)</f>
        <v>1748217.7505316266</v>
      </c>
    </row>
    <row r="79" spans="1:4" ht="15" thickTop="1" x14ac:dyDescent="0.3">
      <c r="D79" s="191"/>
    </row>
    <row r="80" spans="1:4" ht="18" thickBot="1" x14ac:dyDescent="0.4">
      <c r="C80" s="80" t="s">
        <v>801</v>
      </c>
      <c r="D80" s="86">
        <f>SUM(D81,D85)</f>
        <v>1370696.9360231878</v>
      </c>
    </row>
    <row r="81" spans="3:4" ht="15.6" thickTop="1" thickBot="1" x14ac:dyDescent="0.35">
      <c r="C81" s="81" t="s">
        <v>804</v>
      </c>
      <c r="D81" s="87">
        <f>SUM(D82:D84)</f>
        <v>420825.21391402208</v>
      </c>
    </row>
    <row r="82" spans="3:4" x14ac:dyDescent="0.3">
      <c r="C82" s="96" t="s">
        <v>859</v>
      </c>
      <c r="D82" s="30">
        <f>D15</f>
        <v>209306.94055107818</v>
      </c>
    </row>
    <row r="83" spans="3:4" x14ac:dyDescent="0.3">
      <c r="C83" s="96" t="s">
        <v>811</v>
      </c>
      <c r="D83" s="30">
        <f>D17</f>
        <v>211518.27336294393</v>
      </c>
    </row>
    <row r="84" spans="3:4" x14ac:dyDescent="0.3">
      <c r="C84" s="96" t="s">
        <v>812</v>
      </c>
      <c r="D84" s="30"/>
    </row>
    <row r="85" spans="3:4" ht="15" thickBot="1" x14ac:dyDescent="0.35">
      <c r="C85" s="81" t="s">
        <v>877</v>
      </c>
      <c r="D85" s="87">
        <f>SUM(D86,D89,D92)</f>
        <v>949871.72210916574</v>
      </c>
    </row>
    <row r="86" spans="3:4" x14ac:dyDescent="0.3">
      <c r="C86" s="96" t="s">
        <v>878</v>
      </c>
      <c r="D86" s="21">
        <f>SUM(D87:D88)</f>
        <v>348549.17538018263</v>
      </c>
    </row>
    <row r="87" spans="3:4" x14ac:dyDescent="0.3">
      <c r="C87" s="95" t="s">
        <v>881</v>
      </c>
      <c r="D87" s="30">
        <f>D22</f>
        <v>78383.737189796637</v>
      </c>
    </row>
    <row r="88" spans="3:4" x14ac:dyDescent="0.3">
      <c r="C88" s="95" t="s">
        <v>809</v>
      </c>
      <c r="D88" s="30">
        <f>D23</f>
        <v>270165.43819038599</v>
      </c>
    </row>
    <row r="89" spans="3:4" x14ac:dyDescent="0.3">
      <c r="C89" s="96" t="s">
        <v>879</v>
      </c>
      <c r="D89" s="21">
        <f>SUM(D90:D91)</f>
        <v>601322.54672898317</v>
      </c>
    </row>
    <row r="90" spans="3:4" x14ac:dyDescent="0.3">
      <c r="C90" s="95" t="s">
        <v>882</v>
      </c>
      <c r="D90" s="30">
        <f>D27</f>
        <v>258747.0894241434</v>
      </c>
    </row>
    <row r="91" spans="3:4" x14ac:dyDescent="0.3">
      <c r="C91" s="95" t="s">
        <v>813</v>
      </c>
      <c r="D91" s="30">
        <f>D28</f>
        <v>342575.45730483974</v>
      </c>
    </row>
    <row r="92" spans="3:4" x14ac:dyDescent="0.3">
      <c r="C92" s="96" t="s">
        <v>880</v>
      </c>
      <c r="D92" s="21">
        <f>SUM(D93:D94)</f>
        <v>0</v>
      </c>
    </row>
    <row r="93" spans="3:4" x14ac:dyDescent="0.3">
      <c r="C93" s="95" t="s">
        <v>883</v>
      </c>
      <c r="D93" s="30"/>
    </row>
    <row r="94" spans="3:4" x14ac:dyDescent="0.3">
      <c r="C94" s="95" t="s">
        <v>814</v>
      </c>
      <c r="D94" s="30"/>
    </row>
    <row r="95" spans="3:4" x14ac:dyDescent="0.3">
      <c r="C95" s="241"/>
      <c r="D95" s="178"/>
    </row>
    <row r="96" spans="3:4" ht="15" thickBot="1" x14ac:dyDescent="0.35">
      <c r="C96" s="81" t="s">
        <v>884</v>
      </c>
      <c r="D96" s="90">
        <f>D87+D90+D93</f>
        <v>337130.82661394007</v>
      </c>
    </row>
    <row r="97" spans="3:4" ht="15" thickBot="1" x14ac:dyDescent="0.35">
      <c r="C97" s="81" t="s">
        <v>885</v>
      </c>
      <c r="D97" s="90">
        <f>D88+D91+D94</f>
        <v>612740.89549522568</v>
      </c>
    </row>
    <row r="98" spans="3:4" x14ac:dyDescent="0.3">
      <c r="C98" s="241"/>
      <c r="D98" s="178"/>
    </row>
    <row r="99" spans="3:4" ht="18" thickBot="1" x14ac:dyDescent="0.4">
      <c r="C99" s="83" t="s">
        <v>825</v>
      </c>
      <c r="D99" s="91">
        <f>SUM(D101:D103)</f>
        <v>361550.49425972369</v>
      </c>
    </row>
    <row r="100" spans="3:4" ht="15" thickTop="1" x14ac:dyDescent="0.3">
      <c r="C100" s="96" t="s">
        <v>858</v>
      </c>
      <c r="D100" s="28">
        <f>SUM(D101:D102)</f>
        <v>333834.0512288523</v>
      </c>
    </row>
    <row r="101" spans="3:4" x14ac:dyDescent="0.3">
      <c r="C101" s="95" t="s">
        <v>864</v>
      </c>
      <c r="D101" s="30">
        <f>D49</f>
        <v>320559.87062965671</v>
      </c>
    </row>
    <row r="102" spans="3:4" x14ac:dyDescent="0.3">
      <c r="C102" s="95" t="s">
        <v>281</v>
      </c>
      <c r="D102" s="30">
        <f>D51</f>
        <v>13274.180599195599</v>
      </c>
    </row>
    <row r="103" spans="3:4" x14ac:dyDescent="0.3">
      <c r="C103" s="96" t="s">
        <v>863</v>
      </c>
      <c r="D103" s="30">
        <f>D52</f>
        <v>27716.443030871407</v>
      </c>
    </row>
    <row r="105" spans="3:4" ht="18" thickBot="1" x14ac:dyDescent="0.4">
      <c r="C105" s="83" t="s">
        <v>833</v>
      </c>
      <c r="D105" s="91">
        <f>D106</f>
        <v>15970.320248715001</v>
      </c>
    </row>
    <row r="106" spans="3:4" ht="15.6" thickTop="1" thickBot="1" x14ac:dyDescent="0.35">
      <c r="C106" s="82" t="s">
        <v>835</v>
      </c>
      <c r="D106" s="90">
        <f>SUM(D107:D108)</f>
        <v>15970.320248715001</v>
      </c>
    </row>
    <row r="107" spans="3:4" x14ac:dyDescent="0.3">
      <c r="C107" s="96" t="s">
        <v>868</v>
      </c>
      <c r="D107" s="21"/>
    </row>
    <row r="108" spans="3:4" x14ac:dyDescent="0.3">
      <c r="C108" s="96" t="s">
        <v>869</v>
      </c>
      <c r="D108" s="21">
        <f t="shared" ref="D108:D110" si="0">D64</f>
        <v>15970.320248715001</v>
      </c>
    </row>
    <row r="109" spans="3:4" x14ac:dyDescent="0.3">
      <c r="C109" s="95" t="s">
        <v>871</v>
      </c>
      <c r="D109" s="30">
        <f t="shared" si="0"/>
        <v>4825.4351898689993</v>
      </c>
    </row>
    <row r="110" spans="3:4" x14ac:dyDescent="0.3">
      <c r="C110" s="95" t="s">
        <v>872</v>
      </c>
      <c r="D110" s="30">
        <f t="shared" si="0"/>
        <v>11144.885058846001</v>
      </c>
    </row>
  </sheetData>
  <pageMargins left="0.7" right="0.7" top="0.75" bottom="0.75" header="0.3" footer="0.3"/>
  <pageSetup orientation="portrait" horizontalDpi="300" verticalDpi="30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9">
    <tabColor theme="7" tint="0.39997558519241921"/>
  </sheetPr>
  <dimension ref="A1:F32"/>
  <sheetViews>
    <sheetView workbookViewId="0">
      <selection activeCell="G22" sqref="G22"/>
    </sheetView>
  </sheetViews>
  <sheetFormatPr defaultRowHeight="14.4" x14ac:dyDescent="0.3"/>
  <cols>
    <col min="1" max="1" width="16.77734375" style="133" customWidth="1"/>
    <col min="2" max="2" width="12.77734375" style="133" bestFit="1" customWidth="1"/>
    <col min="3" max="3" width="18.6640625" style="133" customWidth="1"/>
    <col min="4" max="4" width="16.6640625" style="133" bestFit="1" customWidth="1"/>
    <col min="5" max="16384" width="8.88671875" style="133"/>
  </cols>
  <sheetData>
    <row r="1" spans="1:6" s="137" customFormat="1" ht="25.8" x14ac:dyDescent="0.5">
      <c r="A1" s="118" t="s">
        <v>759</v>
      </c>
      <c r="B1" s="118"/>
      <c r="C1" s="118"/>
      <c r="D1" s="118"/>
      <c r="E1" s="118"/>
      <c r="F1" s="118"/>
    </row>
    <row r="2" spans="1:6" x14ac:dyDescent="0.3">
      <c r="A2"/>
      <c r="B2"/>
      <c r="C2"/>
      <c r="D2"/>
      <c r="E2"/>
      <c r="F2"/>
    </row>
    <row r="3" spans="1:6" s="138" customFormat="1" ht="18" x14ac:dyDescent="0.35">
      <c r="A3" s="117" t="s">
        <v>760</v>
      </c>
      <c r="B3" s="117"/>
      <c r="C3" s="117"/>
      <c r="D3" s="117"/>
      <c r="E3" s="117"/>
      <c r="F3" s="117"/>
    </row>
    <row r="4" spans="1:6" s="140" customFormat="1" x14ac:dyDescent="0.3">
      <c r="A4" s="1" t="s">
        <v>670</v>
      </c>
      <c r="B4" s="1" t="s">
        <v>712</v>
      </c>
      <c r="C4" s="1"/>
      <c r="D4" s="1" t="s">
        <v>221</v>
      </c>
      <c r="E4" s="1" t="s">
        <v>4</v>
      </c>
      <c r="F4" s="1"/>
    </row>
    <row r="5" spans="1:6" x14ac:dyDescent="0.3">
      <c r="A5" s="3"/>
      <c r="B5" s="3" t="s">
        <v>23</v>
      </c>
      <c r="C5" s="3" t="s">
        <v>24</v>
      </c>
      <c r="D5" t="s">
        <v>751</v>
      </c>
      <c r="E5" s="3" t="s">
        <v>5</v>
      </c>
      <c r="F5"/>
    </row>
    <row r="6" spans="1:6" x14ac:dyDescent="0.3">
      <c r="A6" t="s">
        <v>58</v>
      </c>
      <c r="B6" s="30">
        <f>HLOOKUP(ReportingYear,'K Solid Waste Data'!7:13,2)</f>
        <v>15127.299999999997</v>
      </c>
      <c r="C6" t="s">
        <v>49</v>
      </c>
      <c r="D6" s="28">
        <f>E6/CH4_GWP</f>
        <v>172.33697106674998</v>
      </c>
      <c r="E6" s="28">
        <f>CH4_GWP*(1-CE_Factpr)*(1-0.1)*B6*Pi_x_EFi</f>
        <v>4825.4351898689993</v>
      </c>
      <c r="F6"/>
    </row>
    <row r="7" spans="1:6" ht="15" thickBot="1" x14ac:dyDescent="0.35">
      <c r="A7" s="31" t="s">
        <v>59</v>
      </c>
      <c r="B7" s="32">
        <f>HLOOKUP(ReportingYear,'K Solid Waste Data'!7:13,5)</f>
        <v>34938.200000000004</v>
      </c>
      <c r="C7" s="31" t="s">
        <v>49</v>
      </c>
      <c r="D7" s="34">
        <f>E7/CH4_GWP</f>
        <v>398.03160924450003</v>
      </c>
      <c r="E7" s="34">
        <f>CH4_GWP*(1-CE_Factpr)*(1-0.1)*B7*Pi_x_EFi</f>
        <v>11144.885058846001</v>
      </c>
      <c r="F7"/>
    </row>
    <row r="8" spans="1:6" ht="15" thickTop="1" x14ac:dyDescent="0.3">
      <c r="A8" s="14" t="s">
        <v>85</v>
      </c>
      <c r="B8" s="28">
        <f>SUM(B6:B7)</f>
        <v>50065.5</v>
      </c>
      <c r="C8"/>
      <c r="D8" s="28">
        <f>SUM(D6:D7)</f>
        <v>570.36858031125007</v>
      </c>
      <c r="E8" s="28">
        <f>SUM(E6:E7)</f>
        <v>15970.320248715001</v>
      </c>
      <c r="F8"/>
    </row>
    <row r="9" spans="1:6" x14ac:dyDescent="0.3">
      <c r="A9"/>
      <c r="B9"/>
      <c r="C9"/>
      <c r="D9"/>
      <c r="E9"/>
      <c r="F9"/>
    </row>
    <row r="10" spans="1:6" s="138" customFormat="1" ht="18" x14ac:dyDescent="0.35">
      <c r="A10" s="117" t="s">
        <v>761</v>
      </c>
      <c r="B10" s="117"/>
      <c r="C10" s="117"/>
      <c r="D10" s="117"/>
      <c r="E10" s="117"/>
      <c r="F10" s="117"/>
    </row>
    <row r="11" spans="1:6" s="140" customFormat="1" x14ac:dyDescent="0.3">
      <c r="A11" s="1" t="s">
        <v>762</v>
      </c>
      <c r="B11" s="1" t="s">
        <v>4</v>
      </c>
      <c r="C11" s="1"/>
      <c r="D11" s="1"/>
      <c r="E11" s="1"/>
      <c r="F11" s="1"/>
    </row>
    <row r="12" spans="1:6" x14ac:dyDescent="0.3">
      <c r="A12"/>
      <c r="B12" s="3" t="s">
        <v>719</v>
      </c>
      <c r="C12"/>
      <c r="D12"/>
      <c r="E12"/>
      <c r="F12"/>
    </row>
    <row r="13" spans="1:6" x14ac:dyDescent="0.3">
      <c r="A13" t="s">
        <v>763</v>
      </c>
      <c r="B13" s="30">
        <f>HLOOKUP(ReportingYear,'K Solid Waste Data'!18:19,2)</f>
        <v>19941</v>
      </c>
      <c r="C13"/>
      <c r="D13"/>
      <c r="E13"/>
      <c r="F13"/>
    </row>
    <row r="14" spans="1:6" x14ac:dyDescent="0.3">
      <c r="A14"/>
      <c r="B14"/>
      <c r="C14"/>
      <c r="D14"/>
      <c r="E14"/>
      <c r="F14"/>
    </row>
    <row r="15" spans="1:6" s="138" customFormat="1" ht="18" x14ac:dyDescent="0.35">
      <c r="A15" s="117" t="s">
        <v>48</v>
      </c>
      <c r="B15" s="117"/>
      <c r="C15" s="117"/>
      <c r="D15" s="117"/>
      <c r="E15" s="117"/>
      <c r="F15" s="117"/>
    </row>
    <row r="16" spans="1:6" s="140" customFormat="1" x14ac:dyDescent="0.3">
      <c r="A16" s="1" t="s">
        <v>712</v>
      </c>
      <c r="B16" s="1"/>
      <c r="C16" s="1" t="s">
        <v>4</v>
      </c>
      <c r="D16" s="1"/>
      <c r="E16" s="1"/>
      <c r="F16" s="1"/>
    </row>
    <row r="17" spans="1:6" x14ac:dyDescent="0.3">
      <c r="A17" s="3" t="s">
        <v>23</v>
      </c>
      <c r="B17" s="3" t="s">
        <v>24</v>
      </c>
      <c r="C17" s="3" t="s">
        <v>5</v>
      </c>
      <c r="D17"/>
      <c r="E17"/>
      <c r="F17"/>
    </row>
    <row r="18" spans="1:6" x14ac:dyDescent="0.3">
      <c r="A18" s="28">
        <f>SUM(B6:B7)</f>
        <v>50065.5</v>
      </c>
      <c r="B18" t="s">
        <v>49</v>
      </c>
      <c r="C18" s="28">
        <f>A18*LandfillEFP_Diesel</f>
        <v>821.07420000000002</v>
      </c>
      <c r="D18"/>
      <c r="E18"/>
      <c r="F18"/>
    </row>
    <row r="19" spans="1:6" x14ac:dyDescent="0.3">
      <c r="A19"/>
      <c r="B19"/>
      <c r="C19"/>
      <c r="D19"/>
      <c r="E19"/>
      <c r="F19"/>
    </row>
    <row r="20" spans="1:6" s="138" customFormat="1" ht="18" x14ac:dyDescent="0.35">
      <c r="A20" s="117" t="s">
        <v>837</v>
      </c>
      <c r="B20" s="117"/>
      <c r="C20" s="117"/>
      <c r="D20" s="117"/>
      <c r="E20" s="117"/>
      <c r="F20" s="117"/>
    </row>
    <row r="21" spans="1:6" s="140" customFormat="1" x14ac:dyDescent="0.3">
      <c r="A21" s="1" t="s">
        <v>670</v>
      </c>
      <c r="B21" s="1" t="s">
        <v>712</v>
      </c>
      <c r="C21" s="1"/>
      <c r="D21" s="1" t="s">
        <v>4</v>
      </c>
      <c r="E21" s="1"/>
      <c r="F21" s="1"/>
    </row>
    <row r="22" spans="1:6" x14ac:dyDescent="0.3">
      <c r="A22"/>
      <c r="B22" s="3" t="s">
        <v>23</v>
      </c>
      <c r="C22" s="3" t="s">
        <v>24</v>
      </c>
      <c r="D22" s="3" t="s">
        <v>751</v>
      </c>
      <c r="E22" s="3" t="s">
        <v>752</v>
      </c>
      <c r="F22" s="3" t="s">
        <v>5</v>
      </c>
    </row>
    <row r="23" spans="1:6" x14ac:dyDescent="0.3">
      <c r="A23" t="s">
        <v>58</v>
      </c>
      <c r="B23" s="30">
        <f>HLOOKUP(ReportingYear,'K Solid Waste Data'!7:13,4)</f>
        <v>12789.62</v>
      </c>
      <c r="C23" t="s">
        <v>16</v>
      </c>
      <c r="D23" s="29">
        <f>B23*Compost_CH4EF</f>
        <v>7.1110287200000002</v>
      </c>
      <c r="E23" s="29">
        <f>B23*Compost_N2OEF</f>
        <v>2.6090824800000005</v>
      </c>
      <c r="F23" s="28">
        <f>D23*CH4_GWP+E23*N2O_GWP</f>
        <v>890.51566136000008</v>
      </c>
    </row>
    <row r="24" spans="1:6" ht="15" thickBot="1" x14ac:dyDescent="0.35">
      <c r="A24" s="31" t="s">
        <v>59</v>
      </c>
      <c r="B24" s="32">
        <f>HLOOKUP(ReportingYear,'K Solid Waste Data'!7:13,7)</f>
        <v>0</v>
      </c>
      <c r="C24" s="31" t="s">
        <v>16</v>
      </c>
      <c r="D24" s="210">
        <f>B24*Compost_CH4EF</f>
        <v>0</v>
      </c>
      <c r="E24" s="210">
        <f>B24*Compost_N2OEF</f>
        <v>0</v>
      </c>
      <c r="F24" s="31"/>
    </row>
    <row r="25" spans="1:6" ht="15" thickTop="1" x14ac:dyDescent="0.3">
      <c r="A25" t="s">
        <v>85</v>
      </c>
      <c r="B25" s="28">
        <f>SUM(B23:B24)</f>
        <v>12789.62</v>
      </c>
      <c r="C25"/>
      <c r="D25" s="29">
        <f>SUM(D23:D24)</f>
        <v>7.1110287200000002</v>
      </c>
      <c r="E25" s="29">
        <f t="shared" ref="E25:F25" si="0">SUM(E23:E24)</f>
        <v>2.6090824800000005</v>
      </c>
      <c r="F25" s="28">
        <f t="shared" si="0"/>
        <v>890.51566136000008</v>
      </c>
    </row>
    <row r="26" spans="1:6" x14ac:dyDescent="0.3">
      <c r="A26"/>
      <c r="B26"/>
      <c r="C26"/>
      <c r="D26"/>
      <c r="E26"/>
      <c r="F26"/>
    </row>
    <row r="27" spans="1:6" x14ac:dyDescent="0.3">
      <c r="A27" s="232" t="s">
        <v>1176</v>
      </c>
      <c r="B27" s="232"/>
      <c r="C27" s="232"/>
      <c r="D27" s="232"/>
      <c r="E27" s="232"/>
      <c r="F27" s="232"/>
    </row>
    <row r="28" spans="1:6" s="134" customFormat="1" ht="28.8" x14ac:dyDescent="0.3">
      <c r="A28" s="10"/>
      <c r="B28" s="233" t="s">
        <v>1177</v>
      </c>
      <c r="C28" s="233" t="s">
        <v>1178</v>
      </c>
      <c r="D28" s="131" t="s">
        <v>1179</v>
      </c>
      <c r="E28" s="10"/>
      <c r="F28" s="10"/>
    </row>
    <row r="29" spans="1:6" x14ac:dyDescent="0.3">
      <c r="A29" s="104"/>
      <c r="B29" s="207" t="s">
        <v>5</v>
      </c>
      <c r="C29" s="207" t="s">
        <v>5</v>
      </c>
      <c r="D29" s="207" t="s">
        <v>5</v>
      </c>
      <c r="E29" s="104"/>
      <c r="F29" s="104"/>
    </row>
    <row r="30" spans="1:6" x14ac:dyDescent="0.3">
      <c r="A30" t="s">
        <v>58</v>
      </c>
      <c r="B30" s="199">
        <f>F23</f>
        <v>890.51566136000008</v>
      </c>
      <c r="C30" s="199">
        <f>B23*'F Solid Waste Factor Set'!$B$11*CH4_GWP*(1-CE_Factpr)*(1-0.1)</f>
        <v>6284.8192680000002</v>
      </c>
      <c r="D30" s="199">
        <f>C30-B30</f>
        <v>5394.30360664</v>
      </c>
      <c r="E30"/>
      <c r="F30"/>
    </row>
    <row r="31" spans="1:6" ht="15" thickBot="1" x14ac:dyDescent="0.35">
      <c r="A31" s="31" t="s">
        <v>59</v>
      </c>
      <c r="B31" s="210">
        <f>F24</f>
        <v>0</v>
      </c>
      <c r="C31" s="34">
        <f>B24*'F Solid Waste Factor Set'!$B$11*CH4_GWP*(1-CE_Factpr)*(1-0.1)</f>
        <v>0</v>
      </c>
      <c r="D31" s="34">
        <f>C31-B31</f>
        <v>0</v>
      </c>
      <c r="E31"/>
      <c r="F31"/>
    </row>
    <row r="32" spans="1:6" ht="15" thickTop="1" x14ac:dyDescent="0.3">
      <c r="A32" t="s">
        <v>85</v>
      </c>
      <c r="B32"/>
      <c r="C32"/>
      <c r="D32" s="28">
        <f>SUM(D30:D31)</f>
        <v>5394.30360664</v>
      </c>
      <c r="E32"/>
      <c r="F32"/>
    </row>
  </sheetData>
  <pageMargins left="0.7" right="0.7" top="0.75" bottom="0.75" header="0.3" footer="0.3"/>
  <pageSetup orientation="portrait" horizontalDpi="300" verticalDpi="30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20">
    <tabColor theme="7" tint="0.39997558519241921"/>
  </sheetPr>
  <dimension ref="A1:H29"/>
  <sheetViews>
    <sheetView topLeftCell="A13" workbookViewId="0">
      <selection activeCell="B13" sqref="B13"/>
    </sheetView>
  </sheetViews>
  <sheetFormatPr defaultRowHeight="14.4" x14ac:dyDescent="0.3"/>
  <cols>
    <col min="1" max="1" width="34.5546875" style="133" customWidth="1"/>
    <col min="2" max="2" width="13.6640625" style="133" bestFit="1" customWidth="1"/>
    <col min="3" max="3" width="24.21875" style="133" bestFit="1" customWidth="1"/>
    <col min="4" max="4" width="13.33203125" style="133" bestFit="1" customWidth="1"/>
    <col min="5" max="5" width="9.109375" style="133" bestFit="1" customWidth="1"/>
    <col min="6" max="16384" width="8.88671875" style="133"/>
  </cols>
  <sheetData>
    <row r="1" spans="1:8" s="137" customFormat="1" ht="25.8" x14ac:dyDescent="0.5">
      <c r="A1" s="118" t="s">
        <v>764</v>
      </c>
      <c r="B1" s="118"/>
      <c r="C1" s="118"/>
      <c r="D1" s="118"/>
      <c r="E1" s="118"/>
      <c r="F1" s="118"/>
      <c r="G1" s="118"/>
      <c r="H1" s="118"/>
    </row>
    <row r="3" spans="1:8" s="138" customFormat="1" ht="18" x14ac:dyDescent="0.35">
      <c r="A3" s="117" t="s">
        <v>765</v>
      </c>
      <c r="B3" s="117"/>
      <c r="C3" s="117"/>
      <c r="D3" s="117"/>
      <c r="E3" s="117"/>
      <c r="F3" s="117"/>
      <c r="G3" s="117"/>
      <c r="H3" s="117"/>
    </row>
    <row r="4" spans="1:8" s="140" customFormat="1" x14ac:dyDescent="0.3">
      <c r="A4" s="1" t="s">
        <v>22</v>
      </c>
      <c r="B4" s="1" t="s">
        <v>712</v>
      </c>
      <c r="C4" s="1"/>
      <c r="D4" s="1" t="s">
        <v>766</v>
      </c>
      <c r="E4" s="1" t="s">
        <v>4</v>
      </c>
    </row>
    <row r="5" spans="1:8" s="149" customFormat="1" x14ac:dyDescent="0.3">
      <c r="A5" s="3"/>
      <c r="B5" s="200" t="s">
        <v>23</v>
      </c>
      <c r="C5" s="3" t="s">
        <v>24</v>
      </c>
      <c r="D5" s="3" t="s">
        <v>752</v>
      </c>
      <c r="E5" s="3" t="s">
        <v>5</v>
      </c>
    </row>
    <row r="6" spans="1:8" x14ac:dyDescent="0.3">
      <c r="A6" t="s">
        <v>51</v>
      </c>
      <c r="B6" s="217">
        <v>145000</v>
      </c>
      <c r="C6" t="s">
        <v>768</v>
      </c>
      <c r="D6" s="30">
        <f>(B6*Findcom)*WWTP_EF_nitdenit*g_to_MT</f>
        <v>1.26875</v>
      </c>
      <c r="E6" s="28">
        <f>D6*N2O_GWP</f>
        <v>336.21875</v>
      </c>
    </row>
    <row r="7" spans="1:8" x14ac:dyDescent="0.3">
      <c r="A7" t="s">
        <v>769</v>
      </c>
      <c r="B7" s="217">
        <f>HLOOKUP(ReportingYear,'A Community Indicators Data'!6:11,2)</f>
        <v>120641</v>
      </c>
      <c r="C7" t="s">
        <v>770</v>
      </c>
      <c r="D7" s="30">
        <f>(B7*Findcom)*WWTP_EF_nitdenit*g_to_MT</f>
        <v>1.05560875</v>
      </c>
      <c r="E7" s="28">
        <f>D7*N2O_GWP</f>
        <v>279.73631875000001</v>
      </c>
    </row>
    <row r="9" spans="1:8" s="138" customFormat="1" ht="18" x14ac:dyDescent="0.35">
      <c r="A9" s="117" t="s">
        <v>771</v>
      </c>
      <c r="B9" s="117"/>
      <c r="C9" s="117"/>
      <c r="D9" s="117"/>
      <c r="E9" s="117"/>
      <c r="F9" s="117"/>
      <c r="G9" s="117"/>
      <c r="H9" s="117"/>
    </row>
    <row r="10" spans="1:8" s="140" customFormat="1" x14ac:dyDescent="0.3">
      <c r="A10" s="1" t="s">
        <v>22</v>
      </c>
      <c r="B10" s="1" t="s">
        <v>712</v>
      </c>
      <c r="C10" s="1"/>
      <c r="D10" s="1" t="s">
        <v>766</v>
      </c>
      <c r="E10" s="1" t="s">
        <v>4</v>
      </c>
    </row>
    <row r="11" spans="1:8" s="149" customFormat="1" x14ac:dyDescent="0.3">
      <c r="A11" s="3"/>
      <c r="B11" s="200" t="s">
        <v>23</v>
      </c>
      <c r="C11" s="3" t="s">
        <v>24</v>
      </c>
      <c r="D11" s="3" t="s">
        <v>767</v>
      </c>
      <c r="E11" s="3" t="s">
        <v>5</v>
      </c>
    </row>
    <row r="12" spans="1:8" x14ac:dyDescent="0.3">
      <c r="A12" t="s">
        <v>51</v>
      </c>
      <c r="B12" s="217">
        <v>145000</v>
      </c>
      <c r="C12" t="s">
        <v>768</v>
      </c>
      <c r="D12" s="30">
        <f>((B12*Findcom)*(TotalNLoad-N_Uptake*BOD5_Rate)*WWTP_EF_Fugitive*N2O_N_MWRatio*(1-FPlant_NitDenit)*Days_per_Year)*kg_to_MT</f>
        <v>3.3550006138392856</v>
      </c>
      <c r="E12" s="28">
        <f>D12*N2O_GWP</f>
        <v>889.07516266741072</v>
      </c>
    </row>
    <row r="13" spans="1:8" x14ac:dyDescent="0.3">
      <c r="A13" t="s">
        <v>769</v>
      </c>
      <c r="B13" s="217">
        <f>B7</f>
        <v>120641</v>
      </c>
      <c r="C13" t="s">
        <v>770</v>
      </c>
      <c r="D13" s="30">
        <f>((B13*Findcom)*(TotalNLoad-N_Uptake*BOD5_Rate)*WWTP_EF_Fugitive*N2O_N_MWRatio*(1-FPlant_NitDenit)*Days_per_Year)*kg_to_MT</f>
        <v>2.7913836486495542</v>
      </c>
      <c r="E13" s="28">
        <f>D13*N2O_GWP</f>
        <v>739.71666689213191</v>
      </c>
    </row>
    <row r="15" spans="1:8" s="138" customFormat="1" ht="18" x14ac:dyDescent="0.35">
      <c r="A15" s="117" t="s">
        <v>772</v>
      </c>
      <c r="B15" s="117"/>
      <c r="C15" s="117"/>
      <c r="D15" s="117"/>
      <c r="E15" s="117"/>
      <c r="F15" s="117"/>
      <c r="G15" s="117"/>
      <c r="H15" s="117"/>
    </row>
    <row r="16" spans="1:8" x14ac:dyDescent="0.3">
      <c r="A16" s="3" t="s">
        <v>773</v>
      </c>
      <c r="B16"/>
      <c r="C16"/>
      <c r="D16"/>
    </row>
    <row r="17" spans="1:8" s="140" customFormat="1" x14ac:dyDescent="0.3">
      <c r="A17" s="1"/>
      <c r="B17" s="1" t="s">
        <v>712</v>
      </c>
      <c r="C17" s="1"/>
      <c r="D17" s="1" t="s">
        <v>4</v>
      </c>
    </row>
    <row r="18" spans="1:8" x14ac:dyDescent="0.3">
      <c r="A18"/>
      <c r="B18" s="3" t="s">
        <v>23</v>
      </c>
      <c r="C18" s="3" t="s">
        <v>24</v>
      </c>
      <c r="D18" s="3" t="s">
        <v>5</v>
      </c>
    </row>
    <row r="19" spans="1:8" x14ac:dyDescent="0.3">
      <c r="A19" t="s">
        <v>279</v>
      </c>
      <c r="B19" s="30">
        <f>HLOOKUP(ReportingYear,'L Water and Wastewater Data'!4:12,9)</f>
        <v>13454634</v>
      </c>
      <c r="C19" s="30" t="s">
        <v>25</v>
      </c>
      <c r="D19" s="30">
        <f>B19*Grid_EF</f>
        <v>8682.5409933591527</v>
      </c>
    </row>
    <row r="20" spans="1:8" ht="15" thickBot="1" x14ac:dyDescent="0.35">
      <c r="A20" s="31" t="s">
        <v>28</v>
      </c>
      <c r="B20" s="32">
        <f>HLOOKUP(ReportingYear,'L Water and Wastewater Data'!15:20,6)</f>
        <v>388743.29797492764</v>
      </c>
      <c r="C20" s="32" t="s">
        <v>774</v>
      </c>
      <c r="D20" s="32">
        <f>B20*NG_EF</f>
        <v>2118.4698195864994</v>
      </c>
    </row>
    <row r="21" spans="1:8" ht="15" thickTop="1" x14ac:dyDescent="0.3">
      <c r="A21" t="s">
        <v>85</v>
      </c>
      <c r="B21" s="30"/>
      <c r="C21" s="30"/>
      <c r="D21" s="30">
        <f>SUM(D19:D20)</f>
        <v>10801.010812945653</v>
      </c>
    </row>
    <row r="23" spans="1:8" s="138" customFormat="1" ht="18" x14ac:dyDescent="0.35">
      <c r="A23" s="117" t="s">
        <v>775</v>
      </c>
      <c r="B23" s="117"/>
      <c r="C23" s="117"/>
      <c r="D23" s="117"/>
      <c r="E23" s="117"/>
      <c r="F23" s="117"/>
      <c r="G23" s="117"/>
      <c r="H23" s="117"/>
    </row>
    <row r="24" spans="1:8" x14ac:dyDescent="0.3">
      <c r="A24" s="3" t="s">
        <v>773</v>
      </c>
      <c r="B24"/>
      <c r="C24"/>
      <c r="D24"/>
    </row>
    <row r="25" spans="1:8" s="140" customFormat="1" x14ac:dyDescent="0.3">
      <c r="A25" s="1"/>
      <c r="B25" s="1" t="s">
        <v>712</v>
      </c>
      <c r="C25" s="1"/>
      <c r="D25" s="1" t="s">
        <v>4</v>
      </c>
    </row>
    <row r="26" spans="1:8" x14ac:dyDescent="0.3">
      <c r="A26"/>
      <c r="B26" s="3" t="s">
        <v>23</v>
      </c>
      <c r="C26" s="3" t="s">
        <v>24</v>
      </c>
      <c r="D26" s="3" t="s">
        <v>5</v>
      </c>
    </row>
    <row r="27" spans="1:8" x14ac:dyDescent="0.3">
      <c r="A27" s="7" t="s">
        <v>279</v>
      </c>
      <c r="B27" s="24">
        <f>HLOOKUP(ReportingYear,'L Water and Wastewater Data'!23:40,18)</f>
        <v>12482656</v>
      </c>
      <c r="C27" s="7" t="s">
        <v>25</v>
      </c>
      <c r="D27" s="24">
        <f>B27*Grid_EF</f>
        <v>8055.3043974292113</v>
      </c>
    </row>
    <row r="28" spans="1:8" ht="15" thickBot="1" x14ac:dyDescent="0.35">
      <c r="A28" s="31" t="s">
        <v>28</v>
      </c>
      <c r="B28" s="32">
        <f>HLOOKUP(ReportingYear,'L Water and Wastewater Data'!43:52,10)</f>
        <v>150553.42333654774</v>
      </c>
      <c r="C28" s="31" t="s">
        <v>714</v>
      </c>
      <c r="D28" s="32">
        <f>B28*NG_EF</f>
        <v>820.44599928891034</v>
      </c>
    </row>
    <row r="29" spans="1:8" ht="15" thickTop="1" x14ac:dyDescent="0.3">
      <c r="A29" t="s">
        <v>85</v>
      </c>
      <c r="B29"/>
      <c r="C29"/>
      <c r="D29" s="30">
        <f>SUM(D27:D28)</f>
        <v>8875.7503967181219</v>
      </c>
    </row>
  </sheetData>
  <pageMargins left="0.7" right="0.7" top="0.75" bottom="0.75" header="0.3" footer="0.3"/>
  <pageSetup orientation="portrait" horizontalDpi="300" verticalDpi="30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21">
    <tabColor theme="2" tint="-9.9978637043366805E-2"/>
  </sheetPr>
  <dimension ref="A1:E41"/>
  <sheetViews>
    <sheetView topLeftCell="A15" workbookViewId="0">
      <selection activeCell="D41" sqref="D41"/>
    </sheetView>
  </sheetViews>
  <sheetFormatPr defaultRowHeight="14.4" x14ac:dyDescent="0.3"/>
  <cols>
    <col min="1" max="1" width="31.88671875" style="133" bestFit="1" customWidth="1"/>
    <col min="2" max="2" width="17.88671875" style="133" customWidth="1"/>
    <col min="3" max="3" width="14.5546875" style="133" customWidth="1"/>
    <col min="4" max="4" width="12.77734375" style="133" bestFit="1" customWidth="1"/>
    <col min="5" max="16384" width="8.88671875" style="133"/>
  </cols>
  <sheetData>
    <row r="1" spans="1:5" s="137" customFormat="1" ht="25.8" x14ac:dyDescent="0.5">
      <c r="A1" s="118" t="s">
        <v>776</v>
      </c>
      <c r="B1" s="118"/>
      <c r="C1" s="118"/>
      <c r="D1" s="118"/>
      <c r="E1" s="118"/>
    </row>
    <row r="2" spans="1:5" x14ac:dyDescent="0.3">
      <c r="A2"/>
      <c r="B2"/>
      <c r="C2"/>
      <c r="D2"/>
      <c r="E2"/>
    </row>
    <row r="3" spans="1:5" s="138" customFormat="1" ht="18" x14ac:dyDescent="0.35">
      <c r="A3" s="117" t="s">
        <v>1057</v>
      </c>
      <c r="B3" s="117"/>
      <c r="C3" s="117"/>
      <c r="D3" s="117"/>
      <c r="E3" s="117"/>
    </row>
    <row r="4" spans="1:5" x14ac:dyDescent="0.3">
      <c r="A4"/>
      <c r="B4"/>
      <c r="C4"/>
      <c r="D4"/>
      <c r="E4"/>
    </row>
    <row r="5" spans="1:5" x14ac:dyDescent="0.3">
      <c r="A5" s="1" t="s">
        <v>1058</v>
      </c>
      <c r="B5" s="1" t="s">
        <v>1059</v>
      </c>
      <c r="C5" s="1" t="s">
        <v>778</v>
      </c>
      <c r="D5"/>
      <c r="E5"/>
    </row>
    <row r="6" spans="1:5" x14ac:dyDescent="0.3">
      <c r="A6" t="s">
        <v>779</v>
      </c>
      <c r="B6" t="s">
        <v>136</v>
      </c>
      <c r="C6">
        <v>1</v>
      </c>
      <c r="D6"/>
      <c r="E6"/>
    </row>
    <row r="7" spans="1:5" x14ac:dyDescent="0.3">
      <c r="A7" t="s">
        <v>780</v>
      </c>
      <c r="B7" t="s">
        <v>221</v>
      </c>
      <c r="C7">
        <v>28</v>
      </c>
      <c r="D7"/>
      <c r="E7"/>
    </row>
    <row r="8" spans="1:5" x14ac:dyDescent="0.3">
      <c r="A8" t="s">
        <v>781</v>
      </c>
      <c r="B8" t="s">
        <v>222</v>
      </c>
      <c r="C8">
        <v>265</v>
      </c>
      <c r="D8"/>
      <c r="E8"/>
    </row>
    <row r="9" spans="1:5" x14ac:dyDescent="0.3">
      <c r="A9" s="104" t="s">
        <v>726</v>
      </c>
      <c r="B9" s="2" t="s">
        <v>1060</v>
      </c>
      <c r="C9" s="104"/>
      <c r="D9" s="104"/>
      <c r="E9" s="104"/>
    </row>
    <row r="10" spans="1:5" x14ac:dyDescent="0.3">
      <c r="A10"/>
      <c r="B10"/>
      <c r="C10"/>
      <c r="D10"/>
      <c r="E10" s="2"/>
    </row>
    <row r="11" spans="1:5" s="138" customFormat="1" ht="18" x14ac:dyDescent="0.35">
      <c r="A11" s="117" t="s">
        <v>1061</v>
      </c>
      <c r="B11" s="117"/>
      <c r="C11" s="117"/>
      <c r="D11" s="117"/>
      <c r="E11" s="117"/>
    </row>
    <row r="12" spans="1:5" x14ac:dyDescent="0.3">
      <c r="A12" s="1" t="s">
        <v>782</v>
      </c>
      <c r="B12" t="s">
        <v>32</v>
      </c>
      <c r="C12" t="s">
        <v>783</v>
      </c>
      <c r="D12" t="s">
        <v>86</v>
      </c>
      <c r="E12"/>
    </row>
    <row r="13" spans="1:5" x14ac:dyDescent="0.3">
      <c r="A13" s="3" t="s">
        <v>784</v>
      </c>
      <c r="B13"/>
      <c r="C13"/>
      <c r="D13"/>
      <c r="E13"/>
    </row>
    <row r="14" spans="1:5" x14ac:dyDescent="0.3">
      <c r="A14" t="s">
        <v>783</v>
      </c>
      <c r="B14">
        <f>1000/100</f>
        <v>10</v>
      </c>
      <c r="C14">
        <v>1</v>
      </c>
      <c r="D14">
        <v>1E-3</v>
      </c>
      <c r="E14"/>
    </row>
    <row r="15" spans="1:5" x14ac:dyDescent="0.3">
      <c r="A15" t="s">
        <v>86</v>
      </c>
      <c r="B15">
        <f>10^6/100</f>
        <v>10000</v>
      </c>
      <c r="C15">
        <v>1000</v>
      </c>
      <c r="D15">
        <v>1</v>
      </c>
      <c r="E15"/>
    </row>
    <row r="16" spans="1:5" x14ac:dyDescent="0.3">
      <c r="A16" t="s">
        <v>785</v>
      </c>
      <c r="B16">
        <v>100</v>
      </c>
      <c r="C16">
        <v>1000</v>
      </c>
      <c r="D16">
        <f>10^6</f>
        <v>1000000</v>
      </c>
      <c r="E16"/>
    </row>
    <row r="17" spans="1:5" x14ac:dyDescent="0.3">
      <c r="A17"/>
      <c r="B17"/>
      <c r="C17"/>
      <c r="D17"/>
      <c r="E17"/>
    </row>
    <row r="18" spans="1:5" s="138" customFormat="1" ht="18" x14ac:dyDescent="0.35">
      <c r="A18" s="117" t="s">
        <v>786</v>
      </c>
      <c r="B18" s="117"/>
      <c r="C18" s="117"/>
      <c r="D18" s="117"/>
      <c r="E18" s="117"/>
    </row>
    <row r="19" spans="1:5" x14ac:dyDescent="0.3">
      <c r="A19" s="1" t="s">
        <v>782</v>
      </c>
      <c r="B19" t="s">
        <v>787</v>
      </c>
      <c r="C19" t="s">
        <v>788</v>
      </c>
      <c r="D19"/>
      <c r="E19"/>
    </row>
    <row r="20" spans="1:5" x14ac:dyDescent="0.3">
      <c r="A20" s="3" t="s">
        <v>789</v>
      </c>
      <c r="B20"/>
      <c r="C20"/>
      <c r="D20"/>
      <c r="E20"/>
    </row>
    <row r="21" spans="1:5" x14ac:dyDescent="0.3">
      <c r="A21" t="s">
        <v>790</v>
      </c>
      <c r="B21">
        <v>0.45396999999999998</v>
      </c>
      <c r="C21">
        <v>4.5399999999999998E-4</v>
      </c>
      <c r="D21"/>
      <c r="E21"/>
    </row>
    <row r="22" spans="1:5" x14ac:dyDescent="0.3">
      <c r="A22" t="s">
        <v>788</v>
      </c>
      <c r="B22">
        <v>1000</v>
      </c>
      <c r="C22">
        <v>1</v>
      </c>
      <c r="D22"/>
      <c r="E22"/>
    </row>
    <row r="23" spans="1:5" x14ac:dyDescent="0.3">
      <c r="A23" t="s">
        <v>787</v>
      </c>
      <c r="B23">
        <v>1</v>
      </c>
      <c r="C23">
        <f>1/1000</f>
        <v>1E-3</v>
      </c>
      <c r="D23"/>
      <c r="E23"/>
    </row>
    <row r="24" spans="1:5" x14ac:dyDescent="0.3">
      <c r="A24" t="s">
        <v>791</v>
      </c>
      <c r="B24">
        <v>907.18499999999995</v>
      </c>
      <c r="C24">
        <f>B24/1000</f>
        <v>0.90718499999999991</v>
      </c>
      <c r="D24"/>
      <c r="E24"/>
    </row>
    <row r="25" spans="1:5" x14ac:dyDescent="0.3">
      <c r="A25" t="s">
        <v>792</v>
      </c>
      <c r="B25">
        <f>C23</f>
        <v>1E-3</v>
      </c>
      <c r="C25">
        <f>g_to_kg*kg_to_MT</f>
        <v>9.9999999999999995E-7</v>
      </c>
      <c r="D25"/>
      <c r="E25"/>
    </row>
    <row r="26" spans="1:5" x14ac:dyDescent="0.3">
      <c r="A26"/>
      <c r="B26"/>
      <c r="C26"/>
      <c r="D26"/>
      <c r="E26"/>
    </row>
    <row r="27" spans="1:5" s="138" customFormat="1" ht="18" x14ac:dyDescent="0.35">
      <c r="A27" s="117" t="s">
        <v>793</v>
      </c>
      <c r="B27" s="117"/>
      <c r="C27" s="117"/>
      <c r="D27" s="117"/>
      <c r="E27" s="117"/>
    </row>
    <row r="28" spans="1:5" x14ac:dyDescent="0.3">
      <c r="A28" s="1" t="s">
        <v>782</v>
      </c>
      <c r="B28" t="s">
        <v>794</v>
      </c>
      <c r="C28" t="s">
        <v>795</v>
      </c>
      <c r="D28" t="s">
        <v>754</v>
      </c>
      <c r="E28" t="s">
        <v>714</v>
      </c>
    </row>
    <row r="29" spans="1:5" x14ac:dyDescent="0.3">
      <c r="A29" s="3" t="s">
        <v>784</v>
      </c>
      <c r="B29"/>
      <c r="C29"/>
      <c r="D29"/>
      <c r="E29"/>
    </row>
    <row r="30" spans="1:5" x14ac:dyDescent="0.3">
      <c r="A30" t="s">
        <v>794</v>
      </c>
      <c r="B30">
        <v>1</v>
      </c>
      <c r="C30">
        <v>35.299999999999997</v>
      </c>
      <c r="D30">
        <v>264.2</v>
      </c>
      <c r="E30">
        <f t="shared" ref="E30:E32" si="0">C30/100</f>
        <v>0.35299999999999998</v>
      </c>
    </row>
    <row r="31" spans="1:5" x14ac:dyDescent="0.3">
      <c r="A31" t="s">
        <v>795</v>
      </c>
      <c r="B31">
        <v>2.8299999999999999E-2</v>
      </c>
      <c r="C31">
        <v>1</v>
      </c>
      <c r="D31">
        <v>7.48</v>
      </c>
      <c r="E31">
        <f t="shared" si="0"/>
        <v>0.01</v>
      </c>
    </row>
    <row r="32" spans="1:5" x14ac:dyDescent="0.3">
      <c r="A32" s="4" t="s">
        <v>714</v>
      </c>
      <c r="B32">
        <v>2.8299999999999999E-4</v>
      </c>
      <c r="C32">
        <v>100</v>
      </c>
      <c r="D32">
        <v>7.4800000000000005E-2</v>
      </c>
      <c r="E32">
        <f t="shared" si="0"/>
        <v>1</v>
      </c>
    </row>
    <row r="33" spans="1:5" x14ac:dyDescent="0.3">
      <c r="A33" s="4" t="s">
        <v>796</v>
      </c>
      <c r="B33">
        <v>0.159</v>
      </c>
      <c r="C33">
        <v>5.6150000000000002</v>
      </c>
      <c r="D33">
        <v>42</v>
      </c>
      <c r="E33">
        <f>C33/100</f>
        <v>5.6150000000000005E-2</v>
      </c>
    </row>
    <row r="34" spans="1:5" x14ac:dyDescent="0.3">
      <c r="A34" s="4" t="s">
        <v>797</v>
      </c>
      <c r="B34"/>
      <c r="C34">
        <v>3.5299999999999998E-2</v>
      </c>
      <c r="D34">
        <v>0.26400000000000001</v>
      </c>
      <c r="E34">
        <f>C34/100</f>
        <v>3.5299999999999996E-4</v>
      </c>
    </row>
    <row r="35" spans="1:5" x14ac:dyDescent="0.3">
      <c r="A35"/>
      <c r="B35"/>
      <c r="C35"/>
      <c r="D35"/>
      <c r="E35"/>
    </row>
    <row r="36" spans="1:5" s="138" customFormat="1" ht="18" x14ac:dyDescent="0.35">
      <c r="A36" s="117" t="s">
        <v>798</v>
      </c>
      <c r="B36" s="117"/>
      <c r="C36" s="117"/>
      <c r="D36" s="117"/>
      <c r="E36" s="117"/>
    </row>
    <row r="37" spans="1:5" x14ac:dyDescent="0.3">
      <c r="A37" s="248" t="s">
        <v>1055</v>
      </c>
      <c r="B37" s="248" t="s">
        <v>799</v>
      </c>
      <c r="C37" s="248" t="s">
        <v>800</v>
      </c>
      <c r="D37" s="248" t="s">
        <v>784</v>
      </c>
      <c r="E37" s="104"/>
    </row>
    <row r="38" spans="1:5" x14ac:dyDescent="0.3">
      <c r="A38" s="250" t="s">
        <v>28</v>
      </c>
      <c r="B38" s="250" t="s">
        <v>714</v>
      </c>
      <c r="C38" s="250" t="s">
        <v>54</v>
      </c>
      <c r="D38" s="250">
        <f>103700*10^-6</f>
        <v>0.1037</v>
      </c>
      <c r="E38"/>
    </row>
    <row r="39" spans="1:5" x14ac:dyDescent="0.3">
      <c r="A39" s="4" t="s">
        <v>10</v>
      </c>
      <c r="B39" s="4" t="s">
        <v>714</v>
      </c>
      <c r="C39" s="4" t="s">
        <v>8</v>
      </c>
      <c r="D39" s="4">
        <f>2488*100*10^-6</f>
        <v>0.24879999999999999</v>
      </c>
      <c r="E39"/>
    </row>
    <row r="40" spans="1:5" x14ac:dyDescent="0.3">
      <c r="A40" s="262" t="s">
        <v>28</v>
      </c>
      <c r="B40" s="262" t="s">
        <v>714</v>
      </c>
      <c r="C40" s="262" t="s">
        <v>1352</v>
      </c>
      <c r="D40" s="262">
        <v>1.0369999999999999</v>
      </c>
    </row>
    <row r="41" spans="1:5" x14ac:dyDescent="0.3">
      <c r="A41" s="133" t="s">
        <v>279</v>
      </c>
      <c r="B41" s="133" t="s">
        <v>25</v>
      </c>
      <c r="C41" s="133" t="s">
        <v>54</v>
      </c>
      <c r="D41" s="133">
        <v>3.4099999999999998E-3</v>
      </c>
    </row>
  </sheetData>
  <hyperlinks>
    <hyperlink ref="B9" r:id="rId1" xr:uid="{34187729-A46B-49FE-9366-D4D144C5CD31}"/>
  </hyperlinks>
  <pageMargins left="0.7" right="0.7" top="0.75" bottom="0.75" header="0.3" footer="0.3"/>
  <pageSetup orientation="portrait" r:id="rId2"/>
  <tableParts count="4">
    <tablePart r:id="rId3"/>
    <tablePart r:id="rId4"/>
    <tablePart r:id="rId5"/>
    <tablePart r:id="rId6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9EFC14-3E78-44A7-8537-CC5A0533D51E}">
  <sheetPr>
    <tabColor theme="7"/>
  </sheetPr>
  <dimension ref="A1:G92"/>
  <sheetViews>
    <sheetView topLeftCell="A46" zoomScaleNormal="100" workbookViewId="0">
      <selection activeCell="B21" sqref="B21"/>
    </sheetView>
  </sheetViews>
  <sheetFormatPr defaultRowHeight="14.4" x14ac:dyDescent="0.3"/>
  <cols>
    <col min="1" max="1" width="50.109375" style="134" customWidth="1"/>
    <col min="2" max="2" width="23" style="133" customWidth="1"/>
    <col min="3" max="4" width="18.77734375" style="133" bestFit="1" customWidth="1"/>
    <col min="5" max="5" width="12.5546875" style="133" bestFit="1" customWidth="1"/>
    <col min="6" max="6" width="14.109375" style="133" bestFit="1" customWidth="1"/>
    <col min="7" max="7" width="19.6640625" style="133" bestFit="1" customWidth="1"/>
    <col min="8" max="16384" width="8.88671875" style="133"/>
  </cols>
  <sheetData>
    <row r="1" spans="1:7" s="137" customFormat="1" ht="25.8" x14ac:dyDescent="0.5">
      <c r="A1" s="119" t="s">
        <v>1290</v>
      </c>
      <c r="B1" s="118"/>
      <c r="C1" s="118"/>
      <c r="D1" s="118"/>
      <c r="E1" s="118"/>
      <c r="F1" s="118"/>
      <c r="G1" s="118"/>
    </row>
    <row r="2" spans="1:7" x14ac:dyDescent="0.3">
      <c r="A2" s="10"/>
      <c r="B2"/>
      <c r="C2"/>
      <c r="D2"/>
      <c r="E2"/>
      <c r="F2"/>
      <c r="G2"/>
    </row>
    <row r="3" spans="1:7" s="138" customFormat="1" ht="18" x14ac:dyDescent="0.35">
      <c r="A3" s="120" t="s">
        <v>1291</v>
      </c>
      <c r="B3" s="117"/>
      <c r="C3" s="117"/>
      <c r="D3" s="117"/>
      <c r="E3" s="117"/>
      <c r="F3" s="117"/>
      <c r="G3" s="117"/>
    </row>
    <row r="4" spans="1:7" s="140" customFormat="1" x14ac:dyDescent="0.3">
      <c r="A4" s="270" t="s">
        <v>22</v>
      </c>
      <c r="B4" s="265" t="s">
        <v>673</v>
      </c>
      <c r="C4" s="265" t="s">
        <v>1295</v>
      </c>
      <c r="D4" s="265"/>
      <c r="E4" s="265"/>
      <c r="F4" s="265"/>
      <c r="G4" s="265"/>
    </row>
    <row r="5" spans="1:7" x14ac:dyDescent="0.3">
      <c r="A5" s="10" t="s">
        <v>1292</v>
      </c>
      <c r="B5" s="28">
        <f>SUM(D56,D65,C71,C73,C76,C77,C82,C88,C89)</f>
        <v>965531.52401363826</v>
      </c>
      <c r="C5" s="18">
        <f>B5/$B$8</f>
        <v>0.45756287440007887</v>
      </c>
      <c r="D5"/>
      <c r="E5"/>
      <c r="F5"/>
      <c r="G5"/>
    </row>
    <row r="6" spans="1:7" x14ac:dyDescent="0.3">
      <c r="A6" s="10" t="s">
        <v>1293</v>
      </c>
      <c r="B6" s="28">
        <f>SUM(D60)</f>
        <v>812840.82009192707</v>
      </c>
      <c r="C6" s="18">
        <f t="shared" ref="C6:C7" si="0">B6/$B$8</f>
        <v>0.38520314751082746</v>
      </c>
      <c r="D6"/>
      <c r="E6"/>
      <c r="F6"/>
      <c r="G6"/>
    </row>
    <row r="7" spans="1:7" x14ac:dyDescent="0.3">
      <c r="A7" s="10" t="s">
        <v>1294</v>
      </c>
      <c r="B7" s="28">
        <f>SUM(D64,C72,C85,C86)</f>
        <v>331789.07421223103</v>
      </c>
      <c r="C7" s="18">
        <f t="shared" si="0"/>
        <v>0.15723397808909356</v>
      </c>
      <c r="D7"/>
      <c r="E7"/>
      <c r="F7"/>
      <c r="G7"/>
    </row>
    <row r="8" spans="1:7" s="140" customFormat="1" x14ac:dyDescent="0.3">
      <c r="A8" s="16" t="s">
        <v>85</v>
      </c>
      <c r="B8" s="36">
        <f>SUM(B5:B7)</f>
        <v>2110161.4183177967</v>
      </c>
      <c r="C8" s="93">
        <f>SUM(C5:C7)</f>
        <v>0.99999999999999989</v>
      </c>
      <c r="D8" s="1"/>
      <c r="E8" s="1"/>
      <c r="F8" s="1"/>
      <c r="G8" s="1"/>
    </row>
    <row r="9" spans="1:7" x14ac:dyDescent="0.3">
      <c r="A9" s="10"/>
      <c r="B9"/>
      <c r="C9"/>
      <c r="D9"/>
      <c r="E9"/>
      <c r="F9"/>
      <c r="G9"/>
    </row>
    <row r="10" spans="1:7" s="138" customFormat="1" ht="18" x14ac:dyDescent="0.35">
      <c r="A10" s="120" t="s">
        <v>1296</v>
      </c>
      <c r="B10" s="117"/>
      <c r="C10" s="117"/>
      <c r="D10" s="117"/>
      <c r="E10" s="117"/>
      <c r="F10" s="117"/>
      <c r="G10" s="117"/>
    </row>
    <row r="11" spans="1:7" s="140" customFormat="1" x14ac:dyDescent="0.3">
      <c r="A11" s="270" t="s">
        <v>670</v>
      </c>
      <c r="B11" s="265" t="s">
        <v>673</v>
      </c>
      <c r="C11" s="265" t="s">
        <v>1295</v>
      </c>
      <c r="D11" s="265"/>
      <c r="E11" s="265"/>
      <c r="F11" s="265"/>
      <c r="G11" s="265"/>
    </row>
    <row r="12" spans="1:7" x14ac:dyDescent="0.3">
      <c r="A12" s="10" t="s">
        <v>1297</v>
      </c>
      <c r="B12" s="28">
        <f>D66</f>
        <v>1428695.8761611278</v>
      </c>
      <c r="C12" s="18">
        <f>B12/$B$16</f>
        <v>0.67705525452174764</v>
      </c>
      <c r="D12"/>
      <c r="E12"/>
      <c r="F12"/>
      <c r="G12"/>
    </row>
    <row r="13" spans="1:7" x14ac:dyDescent="0.3">
      <c r="A13" s="10" t="s">
        <v>825</v>
      </c>
      <c r="B13" s="28">
        <f>C78</f>
        <v>642823.17906095169</v>
      </c>
      <c r="C13" s="18">
        <f t="shared" ref="C13:C15" si="1">B13/$B$16</f>
        <v>0.30463223025535413</v>
      </c>
      <c r="D13"/>
      <c r="E13"/>
      <c r="F13"/>
      <c r="G13"/>
    </row>
    <row r="14" spans="1:7" x14ac:dyDescent="0.3">
      <c r="A14" s="10" t="s">
        <v>46</v>
      </c>
      <c r="B14" s="28">
        <f>C87+C88</f>
        <v>37622.910110074998</v>
      </c>
      <c r="C14" s="18">
        <f t="shared" si="1"/>
        <v>1.7829399108276595E-2</v>
      </c>
      <c r="D14"/>
      <c r="E14"/>
      <c r="F14"/>
      <c r="G14"/>
    </row>
    <row r="15" spans="1:7" x14ac:dyDescent="0.3">
      <c r="A15" s="10" t="s">
        <v>1298</v>
      </c>
      <c r="B15" s="28">
        <f>C89</f>
        <v>1019.4529856421319</v>
      </c>
      <c r="C15" s="6">
        <f t="shared" si="1"/>
        <v>4.8311611462161576E-4</v>
      </c>
      <c r="D15"/>
      <c r="E15"/>
      <c r="F15"/>
      <c r="G15"/>
    </row>
    <row r="16" spans="1:7" s="140" customFormat="1" x14ac:dyDescent="0.3">
      <c r="A16" s="16" t="s">
        <v>85</v>
      </c>
      <c r="B16" s="36">
        <f>SUM(B12:B15)</f>
        <v>2110161.4183177967</v>
      </c>
      <c r="C16" s="93">
        <f>SUM(C12:C15)</f>
        <v>1</v>
      </c>
      <c r="D16" s="1"/>
      <c r="E16" s="1"/>
      <c r="F16" s="1"/>
      <c r="G16" s="1"/>
    </row>
    <row r="17" spans="1:7" x14ac:dyDescent="0.3">
      <c r="A17" s="10"/>
      <c r="B17"/>
      <c r="C17"/>
      <c r="D17"/>
      <c r="E17"/>
      <c r="F17"/>
      <c r="G17"/>
    </row>
    <row r="18" spans="1:7" s="138" customFormat="1" ht="18" x14ac:dyDescent="0.35">
      <c r="A18" s="120" t="s">
        <v>1299</v>
      </c>
      <c r="B18" s="117"/>
      <c r="C18" s="117"/>
      <c r="D18" s="117"/>
      <c r="E18" s="117"/>
      <c r="F18" s="117"/>
      <c r="G18" s="117"/>
    </row>
    <row r="19" spans="1:7" s="140" customFormat="1" x14ac:dyDescent="0.3">
      <c r="A19" s="270" t="s">
        <v>1308</v>
      </c>
      <c r="B19" s="265" t="s">
        <v>673</v>
      </c>
      <c r="C19" s="265" t="s">
        <v>1295</v>
      </c>
      <c r="D19" s="265"/>
      <c r="E19" s="265"/>
      <c r="F19" s="265"/>
      <c r="G19" s="265"/>
    </row>
    <row r="20" spans="1:7" x14ac:dyDescent="0.3">
      <c r="A20" s="10" t="s">
        <v>804</v>
      </c>
      <c r="B20" s="28">
        <f>D50+D51+D57</f>
        <v>420855.78109808668</v>
      </c>
      <c r="C20" s="18">
        <f>B20/$B$34</f>
        <v>0.19944245849854914</v>
      </c>
      <c r="D20"/>
      <c r="E20"/>
      <c r="F20"/>
      <c r="G20"/>
    </row>
    <row r="21" spans="1:7" x14ac:dyDescent="0.3">
      <c r="A21" s="10" t="s">
        <v>1300</v>
      </c>
      <c r="B21" s="28">
        <f>D52+D58</f>
        <v>337130.82661394007</v>
      </c>
      <c r="C21" s="18">
        <f t="shared" ref="C21:C33" si="2">B21/$B$34</f>
        <v>0.15976542063909882</v>
      </c>
      <c r="D21"/>
      <c r="E21"/>
      <c r="F21"/>
      <c r="G21"/>
    </row>
    <row r="22" spans="1:7" x14ac:dyDescent="0.3">
      <c r="A22" s="10" t="s">
        <v>1301</v>
      </c>
      <c r="B22" s="28">
        <f>D53+D54+D55+D59</f>
        <v>615825.91296702879</v>
      </c>
      <c r="C22" s="18">
        <f t="shared" si="2"/>
        <v>0.29183829617070728</v>
      </c>
      <c r="D22"/>
      <c r="E22"/>
      <c r="F22"/>
      <c r="G22"/>
    </row>
    <row r="23" spans="1:7" x14ac:dyDescent="0.3">
      <c r="A23" s="10" t="s">
        <v>758</v>
      </c>
      <c r="B23" s="28">
        <f>D64+D65</f>
        <v>54883.355482071973</v>
      </c>
      <c r="C23" s="18">
        <f t="shared" si="2"/>
        <v>2.6009079213392378E-2</v>
      </c>
      <c r="D23" s="104"/>
      <c r="E23" s="104"/>
      <c r="F23" s="104"/>
      <c r="G23" s="104"/>
    </row>
    <row r="24" spans="1:7" x14ac:dyDescent="0.3">
      <c r="A24" s="10" t="s">
        <v>1302</v>
      </c>
      <c r="B24" s="28">
        <f>C69</f>
        <v>320559.87062965671</v>
      </c>
      <c r="C24" s="18">
        <f t="shared" si="2"/>
        <v>0.15191248775897176</v>
      </c>
      <c r="D24"/>
      <c r="E24"/>
      <c r="F24"/>
      <c r="G24"/>
    </row>
    <row r="25" spans="1:7" x14ac:dyDescent="0.3">
      <c r="A25" s="10" t="s">
        <v>1303</v>
      </c>
      <c r="B25" s="28">
        <f>C70</f>
        <v>27716.443030871407</v>
      </c>
      <c r="C25" s="18">
        <f t="shared" si="2"/>
        <v>1.313475016189365E-2</v>
      </c>
      <c r="D25"/>
      <c r="E25"/>
      <c r="F25"/>
      <c r="G25"/>
    </row>
    <row r="26" spans="1:7" x14ac:dyDescent="0.3">
      <c r="A26" s="10" t="s">
        <v>1304</v>
      </c>
      <c r="B26" s="28">
        <f>C72</f>
        <v>278322.66241965228</v>
      </c>
      <c r="C26" s="18">
        <f t="shared" si="2"/>
        <v>0.13189638479957086</v>
      </c>
      <c r="D26"/>
      <c r="E26"/>
      <c r="F26"/>
      <c r="G26"/>
    </row>
    <row r="27" spans="1:7" x14ac:dyDescent="0.3">
      <c r="A27" s="10" t="s">
        <v>1305</v>
      </c>
      <c r="B27" s="28">
        <f>C73</f>
        <v>13274.180599195599</v>
      </c>
      <c r="C27" s="18">
        <f t="shared" si="2"/>
        <v>6.2905996119375883E-3</v>
      </c>
      <c r="D27"/>
      <c r="E27"/>
      <c r="F27"/>
      <c r="G27"/>
    </row>
    <row r="28" spans="1:7" x14ac:dyDescent="0.3">
      <c r="A28" s="10" t="s">
        <v>267</v>
      </c>
      <c r="B28" s="28">
        <f>C76</f>
        <v>135.54488078560004</v>
      </c>
      <c r="C28" s="6">
        <f t="shared" si="2"/>
        <v>6.42343659631761E-5</v>
      </c>
      <c r="D28"/>
      <c r="E28"/>
      <c r="F28"/>
      <c r="G28"/>
    </row>
    <row r="29" spans="1:7" x14ac:dyDescent="0.3">
      <c r="A29" s="10" t="s">
        <v>1306</v>
      </c>
      <c r="B29" s="28">
        <f>C77</f>
        <v>2814.4775007900002</v>
      </c>
      <c r="C29" s="289">
        <f t="shared" si="2"/>
        <v>1.3337735570171116E-3</v>
      </c>
      <c r="D29"/>
      <c r="E29"/>
      <c r="F29"/>
      <c r="G29"/>
    </row>
    <row r="30" spans="1:7" x14ac:dyDescent="0.3">
      <c r="A30" s="10" t="s">
        <v>869</v>
      </c>
      <c r="B30" s="28">
        <f>C86+C85</f>
        <v>16791.394448715</v>
      </c>
      <c r="C30" s="18">
        <f t="shared" si="2"/>
        <v>7.9573980942656813E-3</v>
      </c>
      <c r="D30"/>
      <c r="E30"/>
      <c r="F30"/>
      <c r="G30"/>
    </row>
    <row r="31" spans="1:7" x14ac:dyDescent="0.3">
      <c r="A31" s="10" t="s">
        <v>1307</v>
      </c>
      <c r="B31" s="28">
        <f>C88</f>
        <v>890.51566136000008</v>
      </c>
      <c r="C31" s="6">
        <f t="shared" si="2"/>
        <v>4.2201305247534666E-4</v>
      </c>
      <c r="D31"/>
      <c r="E31"/>
      <c r="F31"/>
      <c r="G31"/>
    </row>
    <row r="32" spans="1:7" x14ac:dyDescent="0.3">
      <c r="A32" s="10" t="s">
        <v>868</v>
      </c>
      <c r="B32" s="28">
        <f>C82</f>
        <v>19941</v>
      </c>
      <c r="C32" s="18">
        <f t="shared" si="2"/>
        <v>9.4499879615355716E-3</v>
      </c>
      <c r="D32"/>
      <c r="E32"/>
      <c r="F32"/>
      <c r="G32"/>
    </row>
    <row r="33" spans="1:7" x14ac:dyDescent="0.3">
      <c r="A33" s="10" t="s">
        <v>1298</v>
      </c>
      <c r="B33" s="28">
        <f>C89</f>
        <v>1019.4529856421319</v>
      </c>
      <c r="C33" s="6">
        <f t="shared" si="2"/>
        <v>4.8311611462161587E-4</v>
      </c>
      <c r="D33"/>
      <c r="E33"/>
      <c r="F33"/>
      <c r="G33"/>
    </row>
    <row r="34" spans="1:7" s="140" customFormat="1" x14ac:dyDescent="0.3">
      <c r="A34" s="16" t="s">
        <v>85</v>
      </c>
      <c r="B34" s="36">
        <f>SUM(B20:B33)</f>
        <v>2110161.4183177962</v>
      </c>
      <c r="C34" s="93">
        <f>SUM(C20:C33)</f>
        <v>1</v>
      </c>
      <c r="D34" s="1"/>
      <c r="E34" s="1"/>
      <c r="F34" s="1"/>
      <c r="G34" s="1"/>
    </row>
    <row r="35" spans="1:7" x14ac:dyDescent="0.3">
      <c r="A35" s="10"/>
      <c r="B35"/>
      <c r="C35"/>
      <c r="D35"/>
      <c r="E35"/>
      <c r="F35"/>
      <c r="G35"/>
    </row>
    <row r="36" spans="1:7" s="138" customFormat="1" ht="18" x14ac:dyDescent="0.35">
      <c r="A36" s="120" t="s">
        <v>1309</v>
      </c>
      <c r="B36" s="117"/>
      <c r="C36" s="117"/>
      <c r="D36" s="117"/>
      <c r="E36" s="117"/>
      <c r="F36" s="117"/>
      <c r="G36" s="117"/>
    </row>
    <row r="37" spans="1:7" s="140" customFormat="1" x14ac:dyDescent="0.3">
      <c r="A37" s="270" t="s">
        <v>726</v>
      </c>
      <c r="B37" s="265" t="s">
        <v>673</v>
      </c>
      <c r="C37" s="265" t="s">
        <v>1295</v>
      </c>
      <c r="D37" s="265"/>
      <c r="E37" s="265"/>
      <c r="F37" s="265"/>
      <c r="G37" s="265"/>
    </row>
    <row r="38" spans="1:7" x14ac:dyDescent="0.3">
      <c r="A38" s="10" t="s">
        <v>1310</v>
      </c>
      <c r="B38" s="28">
        <f>D60+D64</f>
        <v>849515.8374357908</v>
      </c>
      <c r="C38" s="18">
        <f>B38/$B$46</f>
        <v>0.40258334270608453</v>
      </c>
      <c r="D38"/>
      <c r="E38"/>
      <c r="F38"/>
      <c r="G38"/>
    </row>
    <row r="39" spans="1:7" x14ac:dyDescent="0.3">
      <c r="A39" s="10" t="s">
        <v>28</v>
      </c>
      <c r="B39" s="28">
        <f>D50+D52+D53+D65</f>
        <v>576064.45406946901</v>
      </c>
      <c r="C39" s="18">
        <f t="shared" ref="C39:C45" si="3">B39/$B$46</f>
        <v>0.27299544436212042</v>
      </c>
      <c r="D39"/>
      <c r="E39"/>
      <c r="F39"/>
      <c r="G39"/>
    </row>
    <row r="40" spans="1:7" x14ac:dyDescent="0.3">
      <c r="A40" s="10" t="s">
        <v>10</v>
      </c>
      <c r="B40" s="28">
        <f>D51+D54</f>
        <v>2894.4406809977236</v>
      </c>
      <c r="C40" s="289">
        <f t="shared" si="3"/>
        <v>1.3716678998449078E-3</v>
      </c>
      <c r="D40"/>
      <c r="E40"/>
      <c r="F40"/>
      <c r="G40"/>
    </row>
    <row r="41" spans="1:7" x14ac:dyDescent="0.3">
      <c r="A41" s="10" t="s">
        <v>993</v>
      </c>
      <c r="B41" s="28">
        <f>D55</f>
        <v>221.14397487000002</v>
      </c>
      <c r="C41" s="6">
        <f t="shared" si="3"/>
        <v>1.0479955369778974E-4</v>
      </c>
      <c r="D41"/>
      <c r="E41"/>
      <c r="F41"/>
      <c r="G41"/>
    </row>
    <row r="42" spans="1:7" x14ac:dyDescent="0.3">
      <c r="A42" s="10" t="s">
        <v>1311</v>
      </c>
      <c r="B42" s="28">
        <f>C71+C72+C73</f>
        <v>639873.15667937603</v>
      </c>
      <c r="C42" s="18">
        <f t="shared" si="3"/>
        <v>0.3032342223323739</v>
      </c>
      <c r="D42"/>
      <c r="E42"/>
      <c r="F42"/>
      <c r="G42"/>
    </row>
    <row r="43" spans="1:7" x14ac:dyDescent="0.3">
      <c r="A43" s="10" t="s">
        <v>267</v>
      </c>
      <c r="B43" s="28">
        <f>C76</f>
        <v>135.54488078560004</v>
      </c>
      <c r="C43" s="6">
        <f t="shared" si="3"/>
        <v>6.42343659631761E-5</v>
      </c>
      <c r="D43"/>
      <c r="E43"/>
      <c r="F43"/>
      <c r="G43"/>
    </row>
    <row r="44" spans="1:7" x14ac:dyDescent="0.3">
      <c r="A44" s="10" t="s">
        <v>1312</v>
      </c>
      <c r="B44" s="28">
        <f>C77</f>
        <v>2814.4775007900002</v>
      </c>
      <c r="C44" s="289">
        <f t="shared" si="3"/>
        <v>1.3337735570171116E-3</v>
      </c>
      <c r="D44"/>
      <c r="E44"/>
      <c r="F44"/>
      <c r="G44"/>
    </row>
    <row r="45" spans="1:7" x14ac:dyDescent="0.3">
      <c r="A45" s="10" t="s">
        <v>833</v>
      </c>
      <c r="B45" s="28">
        <f>C90</f>
        <v>38642.363095717126</v>
      </c>
      <c r="C45" s="18">
        <f t="shared" si="3"/>
        <v>1.8312515222898212E-2</v>
      </c>
      <c r="D45"/>
      <c r="E45"/>
      <c r="F45"/>
      <c r="G45"/>
    </row>
    <row r="46" spans="1:7" s="140" customFormat="1" x14ac:dyDescent="0.3">
      <c r="A46" s="16" t="s">
        <v>85</v>
      </c>
      <c r="B46" s="36">
        <f>SUM(B38:B45)</f>
        <v>2110161.4183177962</v>
      </c>
      <c r="C46" s="93">
        <f>SUM(C38:C45)</f>
        <v>1</v>
      </c>
      <c r="D46" s="1"/>
      <c r="E46" s="1"/>
      <c r="F46" s="1"/>
      <c r="G46" s="1"/>
    </row>
    <row r="47" spans="1:7" x14ac:dyDescent="0.3">
      <c r="A47" s="10"/>
      <c r="B47"/>
      <c r="C47"/>
      <c r="D47"/>
      <c r="E47"/>
      <c r="F47"/>
      <c r="G47"/>
    </row>
    <row r="48" spans="1:7" s="138" customFormat="1" ht="18" x14ac:dyDescent="0.35">
      <c r="A48" s="120" t="s">
        <v>1313</v>
      </c>
      <c r="B48" s="117"/>
      <c r="C48" s="117"/>
      <c r="D48" s="117"/>
      <c r="E48" s="117"/>
      <c r="F48" s="117"/>
      <c r="G48" s="117"/>
    </row>
    <row r="49" spans="1:7" s="140" customFormat="1" x14ac:dyDescent="0.3">
      <c r="A49" s="275" t="s">
        <v>801</v>
      </c>
      <c r="B49" s="232" t="s">
        <v>1144</v>
      </c>
      <c r="C49" s="232" t="s">
        <v>713</v>
      </c>
      <c r="D49" s="232" t="s">
        <v>673</v>
      </c>
      <c r="E49" s="232" t="s">
        <v>22</v>
      </c>
      <c r="F49" s="232" t="s">
        <v>1315</v>
      </c>
      <c r="G49" s="232" t="s">
        <v>24</v>
      </c>
    </row>
    <row r="50" spans="1:7" x14ac:dyDescent="0.3">
      <c r="A50" s="309" t="s">
        <v>1314</v>
      </c>
      <c r="B50" s="278" t="s">
        <v>58</v>
      </c>
      <c r="C50" t="s">
        <v>9</v>
      </c>
      <c r="D50" s="30">
        <f>'Built Environment Emissions'!E7</f>
        <v>209306.94055107818</v>
      </c>
      <c r="E50">
        <v>1</v>
      </c>
      <c r="F50" s="30">
        <f>'Built Environment Emissions'!C7</f>
        <v>38408227.299999997</v>
      </c>
      <c r="G50" t="str">
        <f>'Built Environment Emissions'!D7</f>
        <v>CCF</v>
      </c>
    </row>
    <row r="51" spans="1:7" x14ac:dyDescent="0.3">
      <c r="A51" s="310"/>
      <c r="B51" s="278" t="s">
        <v>58</v>
      </c>
      <c r="C51" t="s">
        <v>10</v>
      </c>
      <c r="D51" s="30">
        <f>'Built Environment Emissions'!E6</f>
        <v>30.567184064568739</v>
      </c>
      <c r="E51">
        <v>1</v>
      </c>
      <c r="F51" s="30">
        <f>'Built Environment Emissions'!C6</f>
        <v>1969.0086250116053</v>
      </c>
      <c r="G51" t="str">
        <f>'Built Environment Emissions'!D6</f>
        <v>CCF</v>
      </c>
    </row>
    <row r="52" spans="1:7" x14ac:dyDescent="0.3">
      <c r="A52" s="310"/>
      <c r="B52" s="278" t="s">
        <v>59</v>
      </c>
      <c r="C52" t="s">
        <v>9</v>
      </c>
      <c r="D52" s="30">
        <f>'Built Environment Emissions'!E10</f>
        <v>78383.737189796637</v>
      </c>
      <c r="E52">
        <v>1</v>
      </c>
      <c r="F52" s="30">
        <f>'Built Environment Emissions'!C10</f>
        <v>14383566.960000001</v>
      </c>
      <c r="G52" t="str">
        <f>'Built Environment Emissions'!D10</f>
        <v>CCF</v>
      </c>
    </row>
    <row r="53" spans="1:7" x14ac:dyDescent="0.3">
      <c r="A53" s="310"/>
      <c r="B53" s="278" t="s">
        <v>1143</v>
      </c>
      <c r="C53" t="s">
        <v>9</v>
      </c>
      <c r="D53" s="30">
        <f>'Built Environment Emissions'!E13</f>
        <v>270165.43819038599</v>
      </c>
      <c r="E53">
        <v>1</v>
      </c>
      <c r="F53" s="30">
        <f>'Built Environment Emissions'!C13</f>
        <v>49575879</v>
      </c>
      <c r="G53" t="str">
        <f>'Built Environment Emissions'!D13</f>
        <v>CCF</v>
      </c>
    </row>
    <row r="54" spans="1:7" x14ac:dyDescent="0.3">
      <c r="A54" s="310"/>
      <c r="B54" s="278" t="s">
        <v>1143</v>
      </c>
      <c r="C54" t="s">
        <v>10</v>
      </c>
      <c r="D54" s="30">
        <f>'Built Environment Emissions'!E14</f>
        <v>2863.8734969331549</v>
      </c>
      <c r="E54">
        <v>1</v>
      </c>
      <c r="F54" s="30">
        <f>'Built Environment Emissions'!C14</f>
        <v>184478.60962566844</v>
      </c>
      <c r="G54" s="104" t="str">
        <f>'Built Environment Emissions'!D14</f>
        <v>CCF</v>
      </c>
    </row>
    <row r="55" spans="1:7" x14ac:dyDescent="0.3">
      <c r="A55" s="310"/>
      <c r="B55" s="278" t="s">
        <v>1143</v>
      </c>
      <c r="C55" t="s">
        <v>1331</v>
      </c>
      <c r="D55" s="30">
        <f>'Built Environment Emissions'!E15</f>
        <v>221.14397487000002</v>
      </c>
      <c r="E55">
        <v>1</v>
      </c>
      <c r="F55" s="30">
        <f>'Built Environment Emissions'!C15</f>
        <v>20111</v>
      </c>
      <c r="G55" s="104" t="str">
        <f>'Built Environment Emissions'!D15</f>
        <v>Gal</v>
      </c>
    </row>
    <row r="56" spans="1:7" s="140" customFormat="1" x14ac:dyDescent="0.3">
      <c r="A56" s="311"/>
      <c r="B56" s="272" t="s">
        <v>85</v>
      </c>
      <c r="C56" s="272"/>
      <c r="D56" s="273">
        <f>SUM(D50:D55)</f>
        <v>560971.70058712852</v>
      </c>
      <c r="E56" s="272">
        <v>1</v>
      </c>
      <c r="F56" s="273">
        <f>F50+F52+F53</f>
        <v>102367673.25999999</v>
      </c>
      <c r="G56" s="272" t="s">
        <v>1332</v>
      </c>
    </row>
    <row r="57" spans="1:7" x14ac:dyDescent="0.3">
      <c r="A57" s="312" t="s">
        <v>1316</v>
      </c>
      <c r="B57" s="278" t="s">
        <v>58</v>
      </c>
      <c r="C57"/>
      <c r="D57" s="30">
        <f>'Built Environment Emissions'!D24</f>
        <v>211518.27336294393</v>
      </c>
      <c r="E57">
        <v>2</v>
      </c>
      <c r="F57" s="30">
        <f>'Built Environment Emissions'!B24</f>
        <v>327772820.71999997</v>
      </c>
      <c r="G57" t="s">
        <v>25</v>
      </c>
    </row>
    <row r="58" spans="1:7" x14ac:dyDescent="0.3">
      <c r="A58" s="313"/>
      <c r="B58" s="278" t="s">
        <v>59</v>
      </c>
      <c r="C58"/>
      <c r="D58" s="30">
        <f>'Built Environment Emissions'!D26</f>
        <v>258747.0894241434</v>
      </c>
      <c r="E58">
        <v>2</v>
      </c>
      <c r="F58" s="30">
        <f>'Built Environment Emissions'!B26</f>
        <v>400959510.51999998</v>
      </c>
      <c r="G58" t="s">
        <v>25</v>
      </c>
    </row>
    <row r="59" spans="1:7" x14ac:dyDescent="0.3">
      <c r="A59" s="313"/>
      <c r="B59" s="278" t="s">
        <v>1143</v>
      </c>
      <c r="C59"/>
      <c r="D59" s="30">
        <f>'Built Environment Emissions'!D29</f>
        <v>342575.45730483974</v>
      </c>
      <c r="E59">
        <v>2</v>
      </c>
      <c r="F59" s="30">
        <f>'Built Environment Emissions'!B29</f>
        <v>530861576</v>
      </c>
      <c r="G59" t="s">
        <v>25</v>
      </c>
    </row>
    <row r="60" spans="1:7" s="140" customFormat="1" x14ac:dyDescent="0.3">
      <c r="A60" s="314"/>
      <c r="B60" s="272" t="s">
        <v>85</v>
      </c>
      <c r="C60" s="272"/>
      <c r="D60" s="273">
        <f>SUM(D57:D59)</f>
        <v>812840.82009192707</v>
      </c>
      <c r="E60" s="272">
        <v>2</v>
      </c>
      <c r="F60" s="273">
        <f>SUM(F57:F59)</f>
        <v>1259593907.24</v>
      </c>
      <c r="G60" s="272" t="s">
        <v>25</v>
      </c>
    </row>
    <row r="61" spans="1:7" x14ac:dyDescent="0.3">
      <c r="A61" s="312" t="s">
        <v>381</v>
      </c>
      <c r="B61" s="278" t="s">
        <v>58</v>
      </c>
      <c r="C61"/>
      <c r="D61" s="30">
        <f>'Built Environment Emissions'!E39</f>
        <v>9543.6106952069349</v>
      </c>
      <c r="E61">
        <v>3</v>
      </c>
      <c r="F61" s="30">
        <f>'Built Environment Emissions'!D39</f>
        <v>14788964.318245791</v>
      </c>
      <c r="G61" t="s">
        <v>25</v>
      </c>
    </row>
    <row r="62" spans="1:7" x14ac:dyDescent="0.3">
      <c r="A62" s="313"/>
      <c r="B62" s="278" t="s">
        <v>59</v>
      </c>
      <c r="C62"/>
      <c r="D62" s="30">
        <f>'Built Environment Emissions'!E40</f>
        <v>11674.553932012823</v>
      </c>
      <c r="E62">
        <v>3</v>
      </c>
      <c r="F62" s="30">
        <f>'Built Environment Emissions'!D40</f>
        <v>18091115.306986026</v>
      </c>
      <c r="G62" t="s">
        <v>25</v>
      </c>
    </row>
    <row r="63" spans="1:7" x14ac:dyDescent="0.3">
      <c r="A63" s="313"/>
      <c r="B63" s="278" t="s">
        <v>1143</v>
      </c>
      <c r="C63"/>
      <c r="D63" s="30">
        <f>'Built Environment Emissions'!E43</f>
        <v>15456.852716644033</v>
      </c>
      <c r="E63">
        <v>3</v>
      </c>
      <c r="F63" s="30">
        <f>'Built Environment Emissions'!D43</f>
        <v>23952238.895665951</v>
      </c>
      <c r="G63" t="s">
        <v>25</v>
      </c>
    </row>
    <row r="64" spans="1:7" s="140" customFormat="1" x14ac:dyDescent="0.3">
      <c r="A64" s="314"/>
      <c r="B64" s="272" t="s">
        <v>85</v>
      </c>
      <c r="C64" s="272"/>
      <c r="D64" s="273">
        <f>SUM(D61:D63)</f>
        <v>36675.017343863787</v>
      </c>
      <c r="E64" s="272">
        <v>3</v>
      </c>
      <c r="F64" s="273">
        <f>SUM(F61:F63)</f>
        <v>56832318.520897768</v>
      </c>
      <c r="G64" s="272" t="s">
        <v>25</v>
      </c>
    </row>
    <row r="65" spans="1:7" ht="28.8" x14ac:dyDescent="0.3">
      <c r="A65" s="282" t="s">
        <v>1317</v>
      </c>
      <c r="B65" s="272" t="s">
        <v>85</v>
      </c>
      <c r="C65" s="272"/>
      <c r="D65" s="273">
        <f>'Built Environment Emissions'!F50</f>
        <v>18208.338138208186</v>
      </c>
      <c r="E65" s="272">
        <v>1</v>
      </c>
      <c r="F65" s="273">
        <f>'Built Environment Emissions'!D50</f>
        <v>307103.01977999997</v>
      </c>
      <c r="G65" s="272" t="s">
        <v>714</v>
      </c>
    </row>
    <row r="66" spans="1:7" s="140" customFormat="1" x14ac:dyDescent="0.3">
      <c r="A66" s="307" t="s">
        <v>1318</v>
      </c>
      <c r="B66" s="307"/>
      <c r="C66" s="265"/>
      <c r="D66" s="274">
        <f>SUM(D56,D60,D64,D65)</f>
        <v>1428695.8761611278</v>
      </c>
      <c r="E66" s="265"/>
      <c r="F66" s="265"/>
      <c r="G66" s="265"/>
    </row>
    <row r="67" spans="1:7" x14ac:dyDescent="0.3">
      <c r="A67" s="10"/>
      <c r="B67"/>
      <c r="C67"/>
      <c r="D67"/>
      <c r="E67"/>
      <c r="F67"/>
      <c r="G67"/>
    </row>
    <row r="68" spans="1:7" s="140" customFormat="1" x14ac:dyDescent="0.3">
      <c r="A68" s="275" t="s">
        <v>825</v>
      </c>
      <c r="B68" s="232" t="s">
        <v>1144</v>
      </c>
      <c r="C68" s="232" t="s">
        <v>673</v>
      </c>
      <c r="D68" s="232" t="s">
        <v>22</v>
      </c>
      <c r="E68" s="232" t="s">
        <v>1315</v>
      </c>
      <c r="F68" s="232" t="s">
        <v>24</v>
      </c>
      <c r="G68" s="232"/>
    </row>
    <row r="69" spans="1:7" ht="28.8" customHeight="1" x14ac:dyDescent="0.3">
      <c r="A69" s="309" t="s">
        <v>1320</v>
      </c>
      <c r="B69" s="279" t="s">
        <v>34</v>
      </c>
      <c r="C69" s="217">
        <f>'Transportation Emissions'!S9</f>
        <v>320559.87062965671</v>
      </c>
      <c r="D69" s="207">
        <v>1</v>
      </c>
      <c r="E69" s="217">
        <f>'Transportation Emissions'!C9</f>
        <v>745322688.61550474</v>
      </c>
      <c r="F69" t="s">
        <v>13</v>
      </c>
      <c r="G69"/>
    </row>
    <row r="70" spans="1:7" x14ac:dyDescent="0.3">
      <c r="A70" s="310"/>
      <c r="B70" s="279" t="s">
        <v>59</v>
      </c>
      <c r="C70" s="217">
        <f>'Transportation Emissions'!S34</f>
        <v>27716.443030871407</v>
      </c>
      <c r="D70" s="207">
        <v>1</v>
      </c>
      <c r="E70" s="217">
        <f>'Transportation Emissions'!C34</f>
        <v>31969188.384495247</v>
      </c>
      <c r="F70" t="s">
        <v>13</v>
      </c>
      <c r="G70"/>
    </row>
    <row r="71" spans="1:7" x14ac:dyDescent="0.3">
      <c r="A71" s="311"/>
      <c r="B71" s="272" t="s">
        <v>85</v>
      </c>
      <c r="C71" s="273">
        <f>SUM(C69:C70)</f>
        <v>348276.3136605281</v>
      </c>
      <c r="D71" s="273">
        <v>1</v>
      </c>
      <c r="E71" s="273">
        <f>SUM(E69:E70)</f>
        <v>777291877</v>
      </c>
      <c r="F71" s="273" t="s">
        <v>13</v>
      </c>
      <c r="G71" s="272"/>
    </row>
    <row r="72" spans="1:7" ht="28.8" x14ac:dyDescent="0.3">
      <c r="A72" s="283" t="s">
        <v>1321</v>
      </c>
      <c r="B72" s="272" t="s">
        <v>1319</v>
      </c>
      <c r="C72" s="273">
        <f>'Transportation Emissions'!S11</f>
        <v>278322.66241965228</v>
      </c>
      <c r="D72" s="273">
        <v>3</v>
      </c>
      <c r="E72" s="273">
        <f>'Transportation Emissions'!C11</f>
        <v>680533074.81981754</v>
      </c>
      <c r="F72" s="273" t="s">
        <v>13</v>
      </c>
      <c r="G72" s="272"/>
    </row>
    <row r="73" spans="1:7" x14ac:dyDescent="0.3">
      <c r="A73" s="283" t="s">
        <v>1333</v>
      </c>
      <c r="B73" s="272" t="s">
        <v>281</v>
      </c>
      <c r="C73" s="273">
        <f>'Transportation Emissions'!N55</f>
        <v>13274.180599195599</v>
      </c>
      <c r="D73" s="273">
        <v>1</v>
      </c>
      <c r="E73" s="273"/>
      <c r="F73" s="273"/>
      <c r="G73" s="272"/>
    </row>
    <row r="74" spans="1:7" x14ac:dyDescent="0.3">
      <c r="A74" s="309" t="s">
        <v>828</v>
      </c>
      <c r="B74" s="278" t="s">
        <v>1145</v>
      </c>
      <c r="C74" s="217">
        <f>'Transportation Emissions'!H40</f>
        <v>133.81520025060004</v>
      </c>
      <c r="D74" s="207">
        <v>1</v>
      </c>
      <c r="E74" s="217">
        <f>'Transportation Emissions'!C40</f>
        <v>948606</v>
      </c>
      <c r="F74" s="26" t="str">
        <f>'Transportation Emissions'!D40</f>
        <v>passenger-miles</v>
      </c>
      <c r="G74"/>
    </row>
    <row r="75" spans="1:7" x14ac:dyDescent="0.3">
      <c r="A75" s="310"/>
      <c r="B75" s="278" t="s">
        <v>1146</v>
      </c>
      <c r="C75" s="217">
        <f>'Transportation Emissions'!H39</f>
        <v>1.729680535</v>
      </c>
      <c r="D75" s="207">
        <v>1</v>
      </c>
      <c r="E75" s="276">
        <f>'Transportation Emissions'!C39</f>
        <v>74525</v>
      </c>
      <c r="F75" s="26" t="str">
        <f>'Transportation Emissions'!D39</f>
        <v>ton-miles</v>
      </c>
      <c r="G75"/>
    </row>
    <row r="76" spans="1:7" x14ac:dyDescent="0.3">
      <c r="A76" s="311"/>
      <c r="B76" s="272" t="s">
        <v>85</v>
      </c>
      <c r="C76" s="273">
        <f>SUM(C74:C75)</f>
        <v>135.54488078560004</v>
      </c>
      <c r="D76" s="273">
        <v>1</v>
      </c>
      <c r="E76" s="272"/>
      <c r="F76" s="273"/>
      <c r="G76" s="272"/>
    </row>
    <row r="77" spans="1:7" x14ac:dyDescent="0.3">
      <c r="A77" s="283" t="s">
        <v>830</v>
      </c>
      <c r="B77" s="272" t="s">
        <v>33</v>
      </c>
      <c r="C77" s="273">
        <f>'Transportation Emissions'!I62</f>
        <v>2814.4775007900002</v>
      </c>
      <c r="D77" s="273">
        <v>1</v>
      </c>
      <c r="E77" s="272"/>
      <c r="F77" s="273"/>
      <c r="G77" s="272"/>
    </row>
    <row r="78" spans="1:7" s="140" customFormat="1" x14ac:dyDescent="0.3">
      <c r="A78" s="307" t="s">
        <v>1322</v>
      </c>
      <c r="B78" s="307"/>
      <c r="C78" s="274">
        <f>SUM(C71,C72,C76,C77,C73)</f>
        <v>642823.17906095169</v>
      </c>
      <c r="D78" s="274"/>
      <c r="E78" s="265"/>
      <c r="F78" s="265"/>
      <c r="G78" s="265"/>
    </row>
    <row r="79" spans="1:7" x14ac:dyDescent="0.3">
      <c r="A79" s="10"/>
      <c r="B79"/>
      <c r="C79"/>
      <c r="D79"/>
      <c r="E79"/>
      <c r="F79"/>
      <c r="G79"/>
    </row>
    <row r="80" spans="1:7" s="140" customFormat="1" x14ac:dyDescent="0.3">
      <c r="A80" s="275" t="s">
        <v>833</v>
      </c>
      <c r="B80" s="232" t="s">
        <v>1144</v>
      </c>
      <c r="C80" s="232" t="s">
        <v>673</v>
      </c>
      <c r="D80" s="232" t="s">
        <v>22</v>
      </c>
      <c r="E80" s="232" t="s">
        <v>1315</v>
      </c>
      <c r="F80" s="232" t="s">
        <v>24</v>
      </c>
      <c r="G80" s="232"/>
    </row>
    <row r="81" spans="1:7" x14ac:dyDescent="0.3">
      <c r="A81" s="284" t="s">
        <v>1323</v>
      </c>
      <c r="B81"/>
      <c r="C81"/>
      <c r="D81"/>
      <c r="E81"/>
      <c r="F81"/>
      <c r="G81"/>
    </row>
    <row r="82" spans="1:7" x14ac:dyDescent="0.3">
      <c r="A82" s="285" t="s">
        <v>1324</v>
      </c>
      <c r="B82" s="277" t="s">
        <v>1325</v>
      </c>
      <c r="C82" s="216">
        <f>'Solid Waste Emissions'!B13</f>
        <v>19941</v>
      </c>
      <c r="D82" s="1">
        <v>1</v>
      </c>
      <c r="E82"/>
      <c r="F82"/>
      <c r="G82"/>
    </row>
    <row r="83" spans="1:7" x14ac:dyDescent="0.3">
      <c r="A83" s="308" t="s">
        <v>1326</v>
      </c>
      <c r="B83" s="278" t="s">
        <v>58</v>
      </c>
      <c r="C83" s="217">
        <f>'Solid Waste Emissions'!E6</f>
        <v>4825.4351898689993</v>
      </c>
      <c r="D83">
        <v>3</v>
      </c>
      <c r="E83" s="217">
        <f>'Solid Waste Emissions'!B6</f>
        <v>15127.299999999997</v>
      </c>
      <c r="F83" s="104" t="str">
        <f>'Solid Waste Emissions'!C6</f>
        <v>wet short tons</v>
      </c>
      <c r="G83"/>
    </row>
    <row r="84" spans="1:7" x14ac:dyDescent="0.3">
      <c r="A84" s="308"/>
      <c r="B84" s="278" t="s">
        <v>59</v>
      </c>
      <c r="C84" s="217">
        <f>'Solid Waste Emissions'!E7</f>
        <v>11144.885058846001</v>
      </c>
      <c r="D84">
        <v>3</v>
      </c>
      <c r="E84" s="217">
        <f>'Solid Waste Emissions'!B7</f>
        <v>34938.200000000004</v>
      </c>
      <c r="F84" s="104" t="str">
        <f>'Solid Waste Emissions'!C7</f>
        <v>wet short tons</v>
      </c>
      <c r="G84"/>
    </row>
    <row r="85" spans="1:7" x14ac:dyDescent="0.3">
      <c r="A85" s="287"/>
      <c r="B85" s="131" t="s">
        <v>85</v>
      </c>
      <c r="C85" s="216">
        <f>SUM(C83:C84)</f>
        <v>15970.320248715001</v>
      </c>
      <c r="D85" s="216">
        <v>3</v>
      </c>
      <c r="E85" s="214">
        <f>SUM(E83:E84)</f>
        <v>50065.5</v>
      </c>
      <c r="F85" s="216" t="s">
        <v>49</v>
      </c>
      <c r="G85" s="131"/>
    </row>
    <row r="86" spans="1:7" x14ac:dyDescent="0.3">
      <c r="A86" s="285" t="s">
        <v>1335</v>
      </c>
      <c r="B86" s="131"/>
      <c r="C86" s="216">
        <f>'Solid Waste Emissions'!C18</f>
        <v>821.07420000000002</v>
      </c>
      <c r="D86" s="216"/>
      <c r="E86" s="214"/>
      <c r="F86" s="216"/>
      <c r="G86" s="131"/>
    </row>
    <row r="87" spans="1:7" x14ac:dyDescent="0.3">
      <c r="A87" s="286" t="s">
        <v>1327</v>
      </c>
      <c r="B87" s="272" t="s">
        <v>1336</v>
      </c>
      <c r="C87" s="273">
        <f>SUM(C82,C85,C86)</f>
        <v>36732.394448715</v>
      </c>
      <c r="D87" s="273" t="s">
        <v>1337</v>
      </c>
      <c r="E87" s="272"/>
      <c r="F87" s="273"/>
      <c r="G87" s="272"/>
    </row>
    <row r="88" spans="1:7" x14ac:dyDescent="0.3">
      <c r="A88" s="286" t="s">
        <v>1328</v>
      </c>
      <c r="B88" s="271" t="s">
        <v>1329</v>
      </c>
      <c r="C88" s="273">
        <f>'Solid Waste Emissions'!F25</f>
        <v>890.51566136000008</v>
      </c>
      <c r="D88" s="273">
        <v>1</v>
      </c>
      <c r="E88" s="273">
        <f>'Solid Waste Emissions'!B25</f>
        <v>12789.62</v>
      </c>
      <c r="F88" s="273" t="s">
        <v>49</v>
      </c>
      <c r="G88" s="272"/>
    </row>
    <row r="89" spans="1:7" ht="28.8" x14ac:dyDescent="0.3">
      <c r="A89" s="283" t="s">
        <v>840</v>
      </c>
      <c r="B89" s="271" t="s">
        <v>1334</v>
      </c>
      <c r="C89" s="273">
        <f>'Wastewater Emissions'!E7+'Wastewater Emissions'!E13</f>
        <v>1019.4529856421319</v>
      </c>
      <c r="D89" s="273">
        <v>1</v>
      </c>
      <c r="E89" s="273">
        <f>'Emissions Summary'!D4</f>
        <v>120641</v>
      </c>
      <c r="F89" s="273" t="s">
        <v>1361</v>
      </c>
      <c r="G89" s="272"/>
    </row>
    <row r="90" spans="1:7" s="140" customFormat="1" x14ac:dyDescent="0.3">
      <c r="A90" s="307" t="s">
        <v>1330</v>
      </c>
      <c r="B90" s="307"/>
      <c r="C90" s="274">
        <f>SUM(C87,C88,C89)</f>
        <v>38642.363095717126</v>
      </c>
      <c r="D90" s="274"/>
      <c r="E90" s="265"/>
      <c r="F90" s="265"/>
      <c r="G90" s="265"/>
    </row>
    <row r="91" spans="1:7" x14ac:dyDescent="0.3">
      <c r="A91" s="10"/>
      <c r="B91"/>
      <c r="C91"/>
      <c r="D91"/>
      <c r="E91"/>
      <c r="F91"/>
      <c r="G91"/>
    </row>
    <row r="92" spans="1:7" s="140" customFormat="1" x14ac:dyDescent="0.3">
      <c r="A92" s="280" t="s">
        <v>85</v>
      </c>
      <c r="B92" s="281"/>
      <c r="C92" s="288">
        <f>SUM(D66,C78,C90)</f>
        <v>2110161.4183177967</v>
      </c>
      <c r="D92" s="281"/>
      <c r="E92" s="281"/>
      <c r="F92" s="281"/>
      <c r="G92" s="281"/>
    </row>
  </sheetData>
  <mergeCells count="9">
    <mergeCell ref="A78:B78"/>
    <mergeCell ref="A83:A84"/>
    <mergeCell ref="A90:B90"/>
    <mergeCell ref="A66:B66"/>
    <mergeCell ref="A50:A56"/>
    <mergeCell ref="A57:A60"/>
    <mergeCell ref="A61:A64"/>
    <mergeCell ref="A69:A71"/>
    <mergeCell ref="A74:A76"/>
  </mergeCells>
  <pageMargins left="0.7" right="0.7" top="0.75" bottom="0.75" header="0.3" footer="0.3"/>
  <pageSetup orientation="portrait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AC1CA6-3F44-41F4-9A38-C2E217774146}">
  <sheetPr codeName="Sheet24">
    <tabColor theme="7"/>
  </sheetPr>
  <dimension ref="A1:E136"/>
  <sheetViews>
    <sheetView topLeftCell="A121" workbookViewId="0">
      <selection activeCell="E16" sqref="E16"/>
    </sheetView>
  </sheetViews>
  <sheetFormatPr defaultRowHeight="14.4" x14ac:dyDescent="0.3"/>
  <cols>
    <col min="1" max="1" width="48.6640625" style="133" bestFit="1" customWidth="1"/>
    <col min="2" max="2" width="20.88671875" style="133" bestFit="1" customWidth="1"/>
    <col min="3" max="3" width="16.109375" style="191" bestFit="1" customWidth="1"/>
    <col min="4" max="16384" width="8.88671875" style="133"/>
  </cols>
  <sheetData>
    <row r="1" spans="1:3" s="137" customFormat="1" ht="25.8" x14ac:dyDescent="0.5">
      <c r="A1" s="118" t="s">
        <v>1</v>
      </c>
      <c r="B1" s="118"/>
      <c r="C1" s="118"/>
    </row>
    <row r="2" spans="1:3" x14ac:dyDescent="0.3">
      <c r="A2"/>
      <c r="B2"/>
      <c r="C2" s="30"/>
    </row>
    <row r="3" spans="1:3" x14ac:dyDescent="0.3">
      <c r="A3" s="1" t="s">
        <v>61</v>
      </c>
      <c r="B3"/>
      <c r="C3" s="88">
        <f>ReportingYear</f>
        <v>2019</v>
      </c>
    </row>
    <row r="4" spans="1:3" x14ac:dyDescent="0.3">
      <c r="A4" s="1" t="s">
        <v>2</v>
      </c>
      <c r="B4"/>
      <c r="C4" s="30">
        <f>HLOOKUP(ReportingYear,'A Community Indicators Data'!6:11,2)</f>
        <v>120641</v>
      </c>
    </row>
    <row r="5" spans="1:3" x14ac:dyDescent="0.3">
      <c r="A5" s="1" t="s">
        <v>3</v>
      </c>
      <c r="B5"/>
      <c r="C5" s="30">
        <f>HLOOKUP(ReportingYear,'A Community Indicators Data'!15:20,2)</f>
        <v>47791</v>
      </c>
    </row>
    <row r="6" spans="1:3" x14ac:dyDescent="0.3">
      <c r="A6" s="1" t="s">
        <v>946</v>
      </c>
      <c r="B6"/>
      <c r="C6" s="30">
        <f>HLOOKUP(ReportingYear,'A Community Indicators Data'!36:37,2)</f>
        <v>95835</v>
      </c>
    </row>
    <row r="7" spans="1:3" x14ac:dyDescent="0.3">
      <c r="A7" s="1"/>
      <c r="B7"/>
      <c r="C7" s="30"/>
    </row>
    <row r="8" spans="1:3" s="138" customFormat="1" ht="18" x14ac:dyDescent="0.35">
      <c r="A8" s="117" t="s">
        <v>20</v>
      </c>
      <c r="B8" s="117"/>
      <c r="C8" s="117"/>
    </row>
    <row r="9" spans="1:3" s="140" customFormat="1" x14ac:dyDescent="0.3">
      <c r="A9" s="1" t="s">
        <v>873</v>
      </c>
      <c r="B9" s="1" t="s">
        <v>5</v>
      </c>
      <c r="C9" s="21">
        <f>SUM(C10:C12)</f>
        <v>2110161.4183177967</v>
      </c>
    </row>
    <row r="10" spans="1:3" x14ac:dyDescent="0.3">
      <c r="A10" s="4" t="s">
        <v>711</v>
      </c>
      <c r="B10" t="s">
        <v>5</v>
      </c>
      <c r="C10" s="30">
        <f>'Detailed Emissions Summary'!B12</f>
        <v>1428695.8761611278</v>
      </c>
    </row>
    <row r="11" spans="1:3" x14ac:dyDescent="0.3">
      <c r="A11" s="4" t="s">
        <v>728</v>
      </c>
      <c r="B11" t="s">
        <v>5</v>
      </c>
      <c r="C11" s="30">
        <f>'Detailed Emissions Summary'!B13</f>
        <v>642823.17906095169</v>
      </c>
    </row>
    <row r="12" spans="1:3" x14ac:dyDescent="0.3">
      <c r="A12" s="4" t="s">
        <v>874</v>
      </c>
      <c r="B12" t="s">
        <v>5</v>
      </c>
      <c r="C12" s="30">
        <f>'Detailed Emissions Summary'!B14+'Detailed Emissions Summary'!B15</f>
        <v>38642.363095717126</v>
      </c>
    </row>
    <row r="13" spans="1:3" x14ac:dyDescent="0.3">
      <c r="A13"/>
      <c r="B13"/>
      <c r="C13" s="30"/>
    </row>
    <row r="14" spans="1:3" s="138" customFormat="1" ht="18" x14ac:dyDescent="0.35">
      <c r="A14" s="117" t="s">
        <v>886</v>
      </c>
      <c r="B14" s="117"/>
      <c r="C14" s="117"/>
    </row>
    <row r="15" spans="1:3" x14ac:dyDescent="0.3">
      <c r="A15" t="s">
        <v>58</v>
      </c>
      <c r="B15" t="s">
        <v>5</v>
      </c>
      <c r="C15" s="30">
        <f>'Detailed Emissions Summary'!B20</f>
        <v>420855.78109808668</v>
      </c>
    </row>
    <row r="16" spans="1:3" x14ac:dyDescent="0.3">
      <c r="A16" t="s">
        <v>888</v>
      </c>
      <c r="B16" t="s">
        <v>5</v>
      </c>
      <c r="C16" s="30">
        <f>'Detailed Emissions Summary'!B21</f>
        <v>337130.82661394007</v>
      </c>
    </row>
    <row r="17" spans="1:3" x14ac:dyDescent="0.3">
      <c r="A17" t="s">
        <v>350</v>
      </c>
      <c r="B17" t="s">
        <v>5</v>
      </c>
      <c r="C17" s="30">
        <f>'Detailed Emissions Summary'!B22</f>
        <v>615825.91296702879</v>
      </c>
    </row>
    <row r="18" spans="1:3" x14ac:dyDescent="0.3">
      <c r="A18" t="s">
        <v>825</v>
      </c>
      <c r="B18" t="s">
        <v>5</v>
      </c>
      <c r="C18" s="30">
        <f>'Detailed Emissions Summary'!B13</f>
        <v>642823.17906095169</v>
      </c>
    </row>
    <row r="19" spans="1:3" x14ac:dyDescent="0.3">
      <c r="A19" t="s">
        <v>889</v>
      </c>
      <c r="B19" t="s">
        <v>5</v>
      </c>
      <c r="C19" s="30">
        <f>C12</f>
        <v>38642.363095717126</v>
      </c>
    </row>
    <row r="20" spans="1:3" x14ac:dyDescent="0.3">
      <c r="A20" t="s">
        <v>890</v>
      </c>
      <c r="B20" t="s">
        <v>5</v>
      </c>
      <c r="C20" s="30">
        <f>'Detailed Emissions Summary'!B23</f>
        <v>54883.355482071973</v>
      </c>
    </row>
    <row r="21" spans="1:3" x14ac:dyDescent="0.3">
      <c r="A21" s="1" t="s">
        <v>85</v>
      </c>
      <c r="B21" s="1"/>
      <c r="C21" s="21">
        <f>SUM(C15:C20)</f>
        <v>2110161.4183177962</v>
      </c>
    </row>
    <row r="22" spans="1:3" x14ac:dyDescent="0.3">
      <c r="A22" s="3" t="s">
        <v>1362</v>
      </c>
      <c r="B22" s="1"/>
      <c r="C22" s="21"/>
    </row>
    <row r="23" spans="1:3" x14ac:dyDescent="0.3">
      <c r="A23"/>
      <c r="B23"/>
      <c r="C23" s="30"/>
    </row>
    <row r="24" spans="1:3" s="138" customFormat="1" ht="18" x14ac:dyDescent="0.35">
      <c r="A24" s="117" t="s">
        <v>891</v>
      </c>
      <c r="B24" s="117"/>
      <c r="C24" s="117"/>
    </row>
    <row r="25" spans="1:3" x14ac:dyDescent="0.3">
      <c r="A25" t="s">
        <v>28</v>
      </c>
      <c r="B25" t="s">
        <v>5</v>
      </c>
      <c r="C25" s="30">
        <f>'Detailed Emissions Summary'!B39</f>
        <v>576064.45406946901</v>
      </c>
    </row>
    <row r="26" spans="1:3" x14ac:dyDescent="0.3">
      <c r="A26" t="s">
        <v>279</v>
      </c>
      <c r="B26" t="s">
        <v>5</v>
      </c>
      <c r="C26" s="30">
        <f>'Detailed Emissions Summary'!B38</f>
        <v>849515.8374357908</v>
      </c>
    </row>
    <row r="27" spans="1:3" x14ac:dyDescent="0.3">
      <c r="A27" s="104" t="s">
        <v>10</v>
      </c>
      <c r="B27" s="104" t="s">
        <v>5</v>
      </c>
      <c r="C27" s="30">
        <f>'Detailed Emissions Summary'!B40</f>
        <v>2894.4406809977236</v>
      </c>
    </row>
    <row r="28" spans="1:3" x14ac:dyDescent="0.3">
      <c r="A28" s="104" t="s">
        <v>993</v>
      </c>
      <c r="B28" s="104" t="s">
        <v>5</v>
      </c>
      <c r="C28" s="30">
        <f>'Detailed Emissions Summary'!B41</f>
        <v>221.14397487000002</v>
      </c>
    </row>
    <row r="29" spans="1:3" x14ac:dyDescent="0.3">
      <c r="A29" t="s">
        <v>825</v>
      </c>
      <c r="B29" t="s">
        <v>5</v>
      </c>
      <c r="C29" s="30">
        <f>'Detailed Emissions Summary'!B42+'Detailed Emissions Summary'!B43+'Detailed Emissions Summary'!B44</f>
        <v>642823.17906095169</v>
      </c>
    </row>
    <row r="30" spans="1:3" x14ac:dyDescent="0.3">
      <c r="A30" t="s">
        <v>889</v>
      </c>
      <c r="B30" t="s">
        <v>5</v>
      </c>
      <c r="C30" s="30">
        <f>'Detailed Emissions Summary'!B45</f>
        <v>38642.363095717126</v>
      </c>
    </row>
    <row r="31" spans="1:3" x14ac:dyDescent="0.3">
      <c r="A31" s="1" t="s">
        <v>85</v>
      </c>
      <c r="B31" s="104"/>
      <c r="C31" s="30">
        <f>SUM(C25:C30)</f>
        <v>2110161.4183177962</v>
      </c>
    </row>
    <row r="32" spans="1:3" x14ac:dyDescent="0.3">
      <c r="A32" t="s">
        <v>899</v>
      </c>
      <c r="B32" t="s">
        <v>150</v>
      </c>
      <c r="C32" s="98">
        <f>Grid_EF</f>
        <v>6.4531974584809606E-4</v>
      </c>
    </row>
    <row r="33" spans="1:5" x14ac:dyDescent="0.3">
      <c r="A33" s="3" t="s">
        <v>1363</v>
      </c>
      <c r="B33" s="104"/>
      <c r="C33" s="98"/>
    </row>
    <row r="34" spans="1:5" x14ac:dyDescent="0.3">
      <c r="A34"/>
      <c r="B34"/>
      <c r="C34" s="30"/>
    </row>
    <row r="35" spans="1:5" s="138" customFormat="1" ht="18" x14ac:dyDescent="0.35">
      <c r="A35" s="117" t="s">
        <v>887</v>
      </c>
      <c r="B35" s="117"/>
      <c r="C35" s="117"/>
    </row>
    <row r="36" spans="1:5" s="140" customFormat="1" x14ac:dyDescent="0.3">
      <c r="A36" s="1" t="s">
        <v>892</v>
      </c>
      <c r="B36" s="1" t="s">
        <v>8</v>
      </c>
      <c r="C36" s="21">
        <f>'Built Environment Emissions'!C7*'Conversion Factors'!D38</f>
        <v>3982933.1710099997</v>
      </c>
    </row>
    <row r="37" spans="1:5" x14ac:dyDescent="0.3">
      <c r="A37" t="s">
        <v>893</v>
      </c>
      <c r="B37" t="s">
        <v>905</v>
      </c>
      <c r="C37" s="30">
        <f>C36/$C$4</f>
        <v>33.014755937119219</v>
      </c>
    </row>
    <row r="38" spans="1:5" x14ac:dyDescent="0.3">
      <c r="A38" t="s">
        <v>894</v>
      </c>
      <c r="B38" t="s">
        <v>904</v>
      </c>
      <c r="C38" s="30">
        <f>C36/$C$5</f>
        <v>83.340653491452358</v>
      </c>
    </row>
    <row r="39" spans="1:5" s="140" customFormat="1" x14ac:dyDescent="0.3">
      <c r="A39" s="1" t="s">
        <v>916</v>
      </c>
      <c r="B39" s="1" t="s">
        <v>5</v>
      </c>
      <c r="C39" s="21">
        <f>'Emissions Summary'!D15</f>
        <v>209306.94055107818</v>
      </c>
      <c r="E39" s="305"/>
    </row>
    <row r="40" spans="1:5" x14ac:dyDescent="0.3">
      <c r="A40" t="s">
        <v>917</v>
      </c>
      <c r="B40" t="s">
        <v>906</v>
      </c>
      <c r="C40" s="30">
        <f>C39/$C$4</f>
        <v>1.7349569429222087</v>
      </c>
    </row>
    <row r="41" spans="1:5" x14ac:dyDescent="0.3">
      <c r="A41" t="s">
        <v>918</v>
      </c>
      <c r="B41" t="s">
        <v>7</v>
      </c>
      <c r="C41" s="30">
        <f>C39/$C$5</f>
        <v>4.3796309043769366</v>
      </c>
    </row>
    <row r="42" spans="1:5" s="140" customFormat="1" x14ac:dyDescent="0.3">
      <c r="A42" s="1" t="s">
        <v>56</v>
      </c>
      <c r="B42" s="1" t="s">
        <v>8</v>
      </c>
      <c r="C42" s="21">
        <f>'Built Environment Emissions'!B24*kWh_to_mmBtu</f>
        <v>1117705.3186551998</v>
      </c>
    </row>
    <row r="43" spans="1:5" x14ac:dyDescent="0.3">
      <c r="A43" t="s">
        <v>895</v>
      </c>
      <c r="B43" t="s">
        <v>905</v>
      </c>
      <c r="C43" s="30">
        <f>C42/$C$4</f>
        <v>9.2647219324707173</v>
      </c>
    </row>
    <row r="44" spans="1:5" x14ac:dyDescent="0.3">
      <c r="A44" t="s">
        <v>896</v>
      </c>
      <c r="B44" t="s">
        <v>904</v>
      </c>
      <c r="C44" s="30">
        <f>C42/$C$5</f>
        <v>23.387359935033789</v>
      </c>
    </row>
    <row r="45" spans="1:5" s="140" customFormat="1" x14ac:dyDescent="0.3">
      <c r="A45" s="1" t="s">
        <v>919</v>
      </c>
      <c r="B45" s="1" t="s">
        <v>5</v>
      </c>
      <c r="C45" s="21">
        <f>'Emissions Summary'!D17</f>
        <v>211518.27336294393</v>
      </c>
      <c r="E45" s="305"/>
    </row>
    <row r="46" spans="1:5" x14ac:dyDescent="0.3">
      <c r="A46" t="s">
        <v>920</v>
      </c>
      <c r="B46" t="s">
        <v>906</v>
      </c>
      <c r="C46" s="30">
        <f>C45/$C$4</f>
        <v>1.7532868043446583</v>
      </c>
    </row>
    <row r="47" spans="1:5" x14ac:dyDescent="0.3">
      <c r="A47" t="s">
        <v>896</v>
      </c>
      <c r="B47" t="s">
        <v>7</v>
      </c>
      <c r="C47" s="30">
        <f>C45/$C$5</f>
        <v>4.4259018091888418</v>
      </c>
    </row>
    <row r="48" spans="1:5" s="140" customFormat="1" x14ac:dyDescent="0.3">
      <c r="A48" s="1" t="s">
        <v>1364</v>
      </c>
      <c r="B48" s="1" t="s">
        <v>8</v>
      </c>
      <c r="C48" s="21">
        <f>'Built Environment Emissions'!C6*Propane_CCF_to_mmBtu</f>
        <v>489.88934590288738</v>
      </c>
    </row>
    <row r="49" spans="1:5" x14ac:dyDescent="0.3">
      <c r="A49" s="104" t="s">
        <v>1365</v>
      </c>
      <c r="B49" s="104" t="s">
        <v>905</v>
      </c>
      <c r="C49" s="20">
        <f>C48/$C$4</f>
        <v>4.0607202021111181E-3</v>
      </c>
    </row>
    <row r="50" spans="1:5" x14ac:dyDescent="0.3">
      <c r="A50" s="104" t="s">
        <v>1366</v>
      </c>
      <c r="B50" s="104" t="s">
        <v>904</v>
      </c>
      <c r="C50" s="20">
        <f>C48/$C$5</f>
        <v>1.0250661126632366E-2</v>
      </c>
    </row>
    <row r="51" spans="1:5" s="140" customFormat="1" x14ac:dyDescent="0.3">
      <c r="A51" s="1" t="s">
        <v>1367</v>
      </c>
      <c r="B51" s="1" t="s">
        <v>5</v>
      </c>
      <c r="C51" s="21">
        <f>'Built Environment Emissions'!E6</f>
        <v>30.567184064568739</v>
      </c>
      <c r="E51" s="305"/>
    </row>
    <row r="52" spans="1:5" x14ac:dyDescent="0.3">
      <c r="A52" s="104" t="s">
        <v>1368</v>
      </c>
      <c r="B52" s="104" t="s">
        <v>906</v>
      </c>
      <c r="C52" s="38">
        <f>C51/$C$4</f>
        <v>2.533730992330032E-4</v>
      </c>
    </row>
    <row r="53" spans="1:5" x14ac:dyDescent="0.3">
      <c r="A53" s="104" t="s">
        <v>1369</v>
      </c>
      <c r="B53" s="104" t="s">
        <v>7</v>
      </c>
      <c r="C53" s="38">
        <f>C51/$C$5</f>
        <v>6.3960126518735195E-4</v>
      </c>
    </row>
    <row r="54" spans="1:5" s="140" customFormat="1" x14ac:dyDescent="0.3">
      <c r="A54" s="1" t="s">
        <v>11</v>
      </c>
      <c r="B54" s="1" t="s">
        <v>8</v>
      </c>
      <c r="C54" s="21">
        <f>C36+C42+C48</f>
        <v>5101128.379011102</v>
      </c>
    </row>
    <row r="55" spans="1:5" x14ac:dyDescent="0.3">
      <c r="A55" t="s">
        <v>897</v>
      </c>
      <c r="B55" t="s">
        <v>905</v>
      </c>
      <c r="C55" s="30">
        <f>C37+C43</f>
        <v>42.27947786958994</v>
      </c>
    </row>
    <row r="56" spans="1:5" x14ac:dyDescent="0.3">
      <c r="A56" t="s">
        <v>898</v>
      </c>
      <c r="B56" t="s">
        <v>904</v>
      </c>
      <c r="C56" s="30">
        <f>C38+C44</f>
        <v>106.72801342648614</v>
      </c>
    </row>
    <row r="57" spans="1:5" s="140" customFormat="1" x14ac:dyDescent="0.3">
      <c r="A57" s="1" t="s">
        <v>4</v>
      </c>
      <c r="B57" s="1" t="s">
        <v>5</v>
      </c>
      <c r="C57" s="21">
        <f>C39+C45+C51</f>
        <v>420855.78109808668</v>
      </c>
    </row>
    <row r="58" spans="1:5" x14ac:dyDescent="0.3">
      <c r="A58" t="s">
        <v>921</v>
      </c>
      <c r="B58" t="s">
        <v>906</v>
      </c>
      <c r="C58" s="30">
        <f>C57/$C$4</f>
        <v>3.4884971203660999</v>
      </c>
    </row>
    <row r="59" spans="1:5" x14ac:dyDescent="0.3">
      <c r="A59" t="s">
        <v>922</v>
      </c>
      <c r="B59" t="s">
        <v>7</v>
      </c>
      <c r="C59" s="30">
        <f>C57/$C$5</f>
        <v>8.806172314830965</v>
      </c>
    </row>
    <row r="60" spans="1:5" x14ac:dyDescent="0.3">
      <c r="A60"/>
      <c r="B60"/>
      <c r="C60" s="30"/>
    </row>
    <row r="61" spans="1:5" s="138" customFormat="1" ht="18" x14ac:dyDescent="0.35">
      <c r="A61" s="117" t="s">
        <v>981</v>
      </c>
      <c r="B61" s="117"/>
      <c r="C61" s="117"/>
    </row>
    <row r="62" spans="1:5" s="140" customFormat="1" x14ac:dyDescent="0.3">
      <c r="A62" s="1" t="s">
        <v>892</v>
      </c>
      <c r="B62" s="1" t="s">
        <v>8</v>
      </c>
      <c r="C62" s="21">
        <f>'Built Environment Emissions'!C10*'Conversion Factors'!D38</f>
        <v>1491575.8937520001</v>
      </c>
    </row>
    <row r="63" spans="1:5" s="140" customFormat="1" x14ac:dyDescent="0.3">
      <c r="A63" s="1" t="s">
        <v>923</v>
      </c>
      <c r="B63" s="1" t="s">
        <v>5</v>
      </c>
      <c r="C63" s="21">
        <f>'Emissions Summary'!D22</f>
        <v>78383.737189796637</v>
      </c>
    </row>
    <row r="64" spans="1:5" s="140" customFormat="1" x14ac:dyDescent="0.3">
      <c r="A64" s="1" t="s">
        <v>56</v>
      </c>
      <c r="B64" s="1" t="s">
        <v>8</v>
      </c>
      <c r="C64" s="21">
        <f>'Built Environment Emissions'!C10*NG_CCF_to_mmBtu</f>
        <v>1491575.8937520001</v>
      </c>
    </row>
    <row r="65" spans="1:3" s="140" customFormat="1" x14ac:dyDescent="0.3">
      <c r="A65" s="1" t="s">
        <v>919</v>
      </c>
      <c r="B65" s="1" t="s">
        <v>5</v>
      </c>
      <c r="C65" s="21">
        <f>'Emissions Summary'!D27</f>
        <v>258747.0894241434</v>
      </c>
    </row>
    <row r="66" spans="1:3" s="140" customFormat="1" x14ac:dyDescent="0.3">
      <c r="A66" s="1" t="s">
        <v>11</v>
      </c>
      <c r="B66" s="1" t="s">
        <v>8</v>
      </c>
      <c r="C66" s="21">
        <f>SUM(C62,C64)</f>
        <v>2983151.7875040001</v>
      </c>
    </row>
    <row r="67" spans="1:3" s="140" customFormat="1" x14ac:dyDescent="0.3">
      <c r="A67" s="1" t="s">
        <v>924</v>
      </c>
      <c r="B67" s="1" t="s">
        <v>5</v>
      </c>
      <c r="C67" s="21">
        <f>C63+C65</f>
        <v>337130.82661394007</v>
      </c>
    </row>
    <row r="68" spans="1:3" x14ac:dyDescent="0.3">
      <c r="A68"/>
      <c r="B68"/>
      <c r="C68" s="30"/>
    </row>
    <row r="69" spans="1:3" s="138" customFormat="1" ht="18" x14ac:dyDescent="0.35">
      <c r="A69" s="117" t="s">
        <v>350</v>
      </c>
      <c r="B69" s="117"/>
      <c r="C69" s="117"/>
    </row>
    <row r="70" spans="1:3" s="140" customFormat="1" x14ac:dyDescent="0.3">
      <c r="A70" s="1" t="s">
        <v>892</v>
      </c>
      <c r="B70" s="1" t="s">
        <v>8</v>
      </c>
      <c r="C70" s="21">
        <f>'Built Environment Emissions'!C13*'Conversion Factors'!D38</f>
        <v>5141018.6523000002</v>
      </c>
    </row>
    <row r="71" spans="1:3" x14ac:dyDescent="0.3">
      <c r="A71" t="s">
        <v>947</v>
      </c>
      <c r="B71" t="s">
        <v>905</v>
      </c>
      <c r="C71" s="30">
        <f>C70/$C$6</f>
        <v>53.644479076537799</v>
      </c>
    </row>
    <row r="72" spans="1:3" s="140" customFormat="1" x14ac:dyDescent="0.3">
      <c r="A72" s="1" t="s">
        <v>923</v>
      </c>
      <c r="B72" s="1" t="s">
        <v>5</v>
      </c>
      <c r="C72" s="21">
        <f>'Emissions Summary'!D23</f>
        <v>270165.43819038599</v>
      </c>
    </row>
    <row r="73" spans="1:3" x14ac:dyDescent="0.3">
      <c r="A73" t="s">
        <v>950</v>
      </c>
      <c r="B73" t="s">
        <v>906</v>
      </c>
      <c r="C73" s="30">
        <f>C72/$C$6</f>
        <v>2.8190685886198779</v>
      </c>
    </row>
    <row r="74" spans="1:3" s="140" customFormat="1" x14ac:dyDescent="0.3">
      <c r="A74" s="1" t="s">
        <v>56</v>
      </c>
      <c r="B74" s="1" t="s">
        <v>8</v>
      </c>
      <c r="C74" s="21">
        <f>'Detailed Emissions Summary'!F59*kWh_to_mmBtu</f>
        <v>1810237.97416</v>
      </c>
    </row>
    <row r="75" spans="1:3" x14ac:dyDescent="0.3">
      <c r="A75" t="s">
        <v>948</v>
      </c>
      <c r="B75" t="s">
        <v>905</v>
      </c>
      <c r="C75" s="30">
        <f>C74/$C$6</f>
        <v>18.889111224083059</v>
      </c>
    </row>
    <row r="76" spans="1:3" s="140" customFormat="1" x14ac:dyDescent="0.3">
      <c r="A76" s="1" t="s">
        <v>919</v>
      </c>
      <c r="B76" s="1" t="s">
        <v>5</v>
      </c>
      <c r="C76" s="21">
        <f>'Emissions Summary'!D28</f>
        <v>342575.45730483974</v>
      </c>
    </row>
    <row r="77" spans="1:3" x14ac:dyDescent="0.3">
      <c r="A77" t="s">
        <v>949</v>
      </c>
      <c r="B77" t="s">
        <v>906</v>
      </c>
      <c r="C77" s="30">
        <f>C76/$C$6</f>
        <v>3.5746382564286505</v>
      </c>
    </row>
    <row r="78" spans="1:3" x14ac:dyDescent="0.3">
      <c r="A78" s="1" t="s">
        <v>1364</v>
      </c>
      <c r="B78" s="1" t="s">
        <v>8</v>
      </c>
      <c r="C78" s="21">
        <f>'Built Environment Emissions'!C14*Propane_CCF_to_mmBtu</f>
        <v>45898.278074866306</v>
      </c>
    </row>
    <row r="79" spans="1:3" x14ac:dyDescent="0.3">
      <c r="A79" s="104" t="s">
        <v>1372</v>
      </c>
      <c r="B79" s="104"/>
      <c r="C79" s="30">
        <f>C78/$C$6</f>
        <v>0.47893022460339446</v>
      </c>
    </row>
    <row r="80" spans="1:3" x14ac:dyDescent="0.3">
      <c r="A80" s="1" t="s">
        <v>1367</v>
      </c>
      <c r="B80" s="1" t="s">
        <v>5</v>
      </c>
      <c r="C80" s="21">
        <f>'Detailed Emissions Summary'!D54</f>
        <v>2863.8734969331549</v>
      </c>
    </row>
    <row r="81" spans="1:3" x14ac:dyDescent="0.3">
      <c r="A81" s="104" t="s">
        <v>1373</v>
      </c>
      <c r="B81" s="104"/>
      <c r="C81" s="30">
        <f>C80/$C$6</f>
        <v>2.9883377648386861E-2</v>
      </c>
    </row>
    <row r="82" spans="1:3" x14ac:dyDescent="0.3">
      <c r="A82" s="1" t="s">
        <v>1370</v>
      </c>
      <c r="B82" s="1" t="s">
        <v>754</v>
      </c>
      <c r="C82" s="21">
        <f>'Detailed Emissions Summary'!F55</f>
        <v>20111</v>
      </c>
    </row>
    <row r="83" spans="1:3" x14ac:dyDescent="0.3">
      <c r="A83" s="104" t="s">
        <v>1374</v>
      </c>
      <c r="B83" s="104"/>
      <c r="C83" s="30">
        <f>C82/$C$6</f>
        <v>0.20985026347367872</v>
      </c>
    </row>
    <row r="84" spans="1:3" x14ac:dyDescent="0.3">
      <c r="A84" s="1" t="s">
        <v>1371</v>
      </c>
      <c r="B84" s="1" t="s">
        <v>5</v>
      </c>
      <c r="C84" s="21">
        <f>'Detailed Emissions Summary'!D55</f>
        <v>221.14397487000002</v>
      </c>
    </row>
    <row r="85" spans="1:3" x14ac:dyDescent="0.3">
      <c r="A85" s="104" t="s">
        <v>1375</v>
      </c>
      <c r="B85" s="104"/>
      <c r="C85" s="30">
        <f>C84/$C$6</f>
        <v>2.3075491717013618E-3</v>
      </c>
    </row>
    <row r="86" spans="1:3" s="140" customFormat="1" x14ac:dyDescent="0.3">
      <c r="A86" s="1" t="s">
        <v>11</v>
      </c>
      <c r="B86" s="1" t="s">
        <v>8</v>
      </c>
      <c r="C86" s="21">
        <f>SUM(C70,C74,C78)</f>
        <v>6997154.9045348661</v>
      </c>
    </row>
    <row r="87" spans="1:3" ht="15" customHeight="1" x14ac:dyDescent="0.3">
      <c r="A87" t="s">
        <v>951</v>
      </c>
      <c r="B87" t="s">
        <v>905</v>
      </c>
      <c r="C87" s="30">
        <f>C86/$C$6</f>
        <v>73.012520525224247</v>
      </c>
    </row>
    <row r="88" spans="1:3" s="140" customFormat="1" x14ac:dyDescent="0.3">
      <c r="A88" s="1" t="s">
        <v>924</v>
      </c>
      <c r="B88" s="1" t="s">
        <v>5</v>
      </c>
      <c r="C88" s="21">
        <f>SUM(C72,C76,C80,C84)</f>
        <v>615825.91296702879</v>
      </c>
    </row>
    <row r="89" spans="1:3" x14ac:dyDescent="0.3">
      <c r="A89" t="s">
        <v>952</v>
      </c>
      <c r="B89" t="s">
        <v>906</v>
      </c>
      <c r="C89" s="30">
        <f>C88/$C$6</f>
        <v>6.4258977718686161</v>
      </c>
    </row>
    <row r="90" spans="1:3" x14ac:dyDescent="0.3">
      <c r="A90"/>
      <c r="B90"/>
      <c r="C90" s="30"/>
    </row>
    <row r="91" spans="1:3" s="138" customFormat="1" ht="18" x14ac:dyDescent="0.35">
      <c r="A91" s="117" t="s">
        <v>825</v>
      </c>
      <c r="B91" s="117"/>
      <c r="C91" s="117"/>
    </row>
    <row r="92" spans="1:3" s="140" customFormat="1" x14ac:dyDescent="0.3">
      <c r="A92" s="1" t="s">
        <v>953</v>
      </c>
      <c r="B92" s="1" t="s">
        <v>5</v>
      </c>
      <c r="C92" s="21">
        <f>'Detailed Emissions Summary'!C69</f>
        <v>320559.87062965671</v>
      </c>
    </row>
    <row r="93" spans="1:3" x14ac:dyDescent="0.3">
      <c r="A93" t="s">
        <v>955</v>
      </c>
      <c r="B93" t="s">
        <v>906</v>
      </c>
      <c r="C93" s="30">
        <f>C92/$C$4</f>
        <v>2.6571387059926286</v>
      </c>
    </row>
    <row r="94" spans="1:3" x14ac:dyDescent="0.3">
      <c r="A94" t="s">
        <v>957</v>
      </c>
      <c r="B94" t="s">
        <v>7</v>
      </c>
      <c r="C94" s="30">
        <f>C92/$C$5</f>
        <v>6.7075363693929129</v>
      </c>
    </row>
    <row r="95" spans="1:3" s="140" customFormat="1" x14ac:dyDescent="0.3">
      <c r="A95" s="1" t="s">
        <v>954</v>
      </c>
      <c r="B95" s="1" t="s">
        <v>13</v>
      </c>
      <c r="C95" s="21">
        <f>'Transportation Emissions'!C9</f>
        <v>745322688.61550474</v>
      </c>
    </row>
    <row r="96" spans="1:3" x14ac:dyDescent="0.3">
      <c r="A96" t="s">
        <v>956</v>
      </c>
      <c r="B96" t="s">
        <v>907</v>
      </c>
      <c r="C96" s="30">
        <f>C95/$C$4</f>
        <v>6178.0214737568886</v>
      </c>
    </row>
    <row r="97" spans="1:3" x14ac:dyDescent="0.3">
      <c r="A97" t="s">
        <v>958</v>
      </c>
      <c r="B97" t="s">
        <v>909</v>
      </c>
      <c r="C97" s="30">
        <f>C95/$C$5</f>
        <v>15595.461250350583</v>
      </c>
    </row>
    <row r="98" spans="1:3" x14ac:dyDescent="0.3">
      <c r="A98" t="s">
        <v>959</v>
      </c>
      <c r="B98" t="s">
        <v>14</v>
      </c>
      <c r="C98" s="98">
        <f>C92/C95</f>
        <v>4.3009541441053103E-4</v>
      </c>
    </row>
    <row r="99" spans="1:3" s="140" customFormat="1" x14ac:dyDescent="0.3">
      <c r="A99" s="1" t="s">
        <v>960</v>
      </c>
      <c r="B99" s="1" t="s">
        <v>5</v>
      </c>
      <c r="C99" s="21">
        <f>'Transportation Emissions'!S11</f>
        <v>278322.66241965228</v>
      </c>
    </row>
    <row r="100" spans="1:3" s="140" customFormat="1" x14ac:dyDescent="0.3">
      <c r="A100" s="1" t="s">
        <v>961</v>
      </c>
      <c r="B100" s="1" t="s">
        <v>13</v>
      </c>
      <c r="C100" s="21">
        <f>'Transportation Emissions'!C11</f>
        <v>680533074.81981754</v>
      </c>
    </row>
    <row r="101" spans="1:3" x14ac:dyDescent="0.3">
      <c r="A101" t="s">
        <v>965</v>
      </c>
      <c r="B101" t="s">
        <v>14</v>
      </c>
      <c r="C101" s="304">
        <f>C99/C100</f>
        <v>4.0897742184440168E-4</v>
      </c>
    </row>
    <row r="102" spans="1:3" s="140" customFormat="1" x14ac:dyDescent="0.3">
      <c r="A102" s="1" t="s">
        <v>911</v>
      </c>
      <c r="B102" s="1" t="s">
        <v>5</v>
      </c>
      <c r="C102" s="21">
        <f>C92+C99</f>
        <v>598882.53304930893</v>
      </c>
    </row>
    <row r="103" spans="1:3" x14ac:dyDescent="0.3">
      <c r="A103" t="s">
        <v>963</v>
      </c>
      <c r="B103" t="s">
        <v>906</v>
      </c>
      <c r="C103" s="30">
        <f>C102/$C$4</f>
        <v>4.9641708295629918</v>
      </c>
    </row>
    <row r="104" spans="1:3" x14ac:dyDescent="0.3">
      <c r="A104" t="s">
        <v>962</v>
      </c>
      <c r="B104" t="s">
        <v>7</v>
      </c>
      <c r="C104" s="30">
        <f>C102/$C$5</f>
        <v>12.531282732089911</v>
      </c>
    </row>
    <row r="105" spans="1:3" s="140" customFormat="1" x14ac:dyDescent="0.3">
      <c r="A105" s="1" t="s">
        <v>912</v>
      </c>
      <c r="B105" s="1" t="s">
        <v>13</v>
      </c>
      <c r="C105" s="21">
        <f>C95+C100</f>
        <v>1425855763.4353223</v>
      </c>
    </row>
    <row r="106" spans="1:3" x14ac:dyDescent="0.3">
      <c r="A106" t="s">
        <v>964</v>
      </c>
      <c r="B106" t="s">
        <v>907</v>
      </c>
      <c r="C106" s="30">
        <f>C105/$C$4</f>
        <v>11818.998213172323</v>
      </c>
    </row>
    <row r="107" spans="1:3" x14ac:dyDescent="0.3">
      <c r="A107" t="s">
        <v>913</v>
      </c>
      <c r="B107" t="s">
        <v>909</v>
      </c>
      <c r="C107" s="30">
        <f>C105/$C$5</f>
        <v>29835.235994963954</v>
      </c>
    </row>
    <row r="108" spans="1:3" x14ac:dyDescent="0.3">
      <c r="A108" t="s">
        <v>914</v>
      </c>
      <c r="B108" t="s">
        <v>14</v>
      </c>
      <c r="C108" s="98">
        <f>C102/C105</f>
        <v>4.2001620949822996E-4</v>
      </c>
    </row>
    <row r="109" spans="1:3" s="140" customFormat="1" x14ac:dyDescent="0.3">
      <c r="A109" s="1" t="s">
        <v>966</v>
      </c>
      <c r="B109" s="1" t="s">
        <v>5</v>
      </c>
      <c r="C109" s="21">
        <f>'Detailed Emissions Summary'!C70</f>
        <v>27716.443030871407</v>
      </c>
    </row>
    <row r="110" spans="1:3" s="140" customFormat="1" x14ac:dyDescent="0.3">
      <c r="A110" s="1" t="s">
        <v>967</v>
      </c>
      <c r="B110" s="1" t="s">
        <v>13</v>
      </c>
      <c r="C110" s="21">
        <f>'Transportation Emissions'!C34</f>
        <v>31969188.384495247</v>
      </c>
    </row>
    <row r="111" spans="1:3" x14ac:dyDescent="0.3">
      <c r="A111" t="s">
        <v>968</v>
      </c>
      <c r="B111" t="s">
        <v>173</v>
      </c>
      <c r="C111" s="98">
        <f>C109/C110</f>
        <v>8.6697362152345471E-4</v>
      </c>
    </row>
    <row r="112" spans="1:3" s="140" customFormat="1" x14ac:dyDescent="0.3">
      <c r="A112" s="1" t="s">
        <v>845</v>
      </c>
      <c r="B112" s="1" t="s">
        <v>13</v>
      </c>
      <c r="C112" s="21">
        <f>C105+C110</f>
        <v>1457824951.8198175</v>
      </c>
    </row>
    <row r="113" spans="1:3" x14ac:dyDescent="0.3">
      <c r="A113" t="s">
        <v>900</v>
      </c>
      <c r="B113" t="s">
        <v>907</v>
      </c>
      <c r="C113" s="30">
        <f>C112/$C$4</f>
        <v>12083.992604668541</v>
      </c>
    </row>
    <row r="114" spans="1:3" x14ac:dyDescent="0.3">
      <c r="A114" t="s">
        <v>908</v>
      </c>
      <c r="B114" t="s">
        <v>909</v>
      </c>
      <c r="C114" s="30">
        <f>C112/$C$5</f>
        <v>30504.173418003757</v>
      </c>
    </row>
    <row r="115" spans="1:3" s="140" customFormat="1" x14ac:dyDescent="0.3">
      <c r="A115" s="1" t="s">
        <v>1376</v>
      </c>
      <c r="B115" s="1" t="s">
        <v>5</v>
      </c>
      <c r="C115" s="21">
        <f>'Detailed Emissions Summary'!C71</f>
        <v>348276.3136605281</v>
      </c>
    </row>
    <row r="116" spans="1:3" s="140" customFormat="1" x14ac:dyDescent="0.3">
      <c r="A116" s="1" t="s">
        <v>1377</v>
      </c>
      <c r="B116" s="1" t="s">
        <v>5</v>
      </c>
      <c r="C116" s="21">
        <f>C115+C99</f>
        <v>626598.97608018038</v>
      </c>
    </row>
    <row r="117" spans="1:3" s="140" customFormat="1" x14ac:dyDescent="0.3">
      <c r="A117" s="1" t="s">
        <v>979</v>
      </c>
      <c r="B117" s="1" t="s">
        <v>978</v>
      </c>
      <c r="C117" s="21">
        <f>SUM('I Transportation Data'!B33:B34)</f>
        <v>1094</v>
      </c>
    </row>
    <row r="118" spans="1:3" x14ac:dyDescent="0.3">
      <c r="A118" t="s">
        <v>980</v>
      </c>
      <c r="B118"/>
      <c r="C118" s="102">
        <f>SUM('I Transportation Data'!D33:D34)</f>
        <v>8.739272275458964E-3</v>
      </c>
    </row>
    <row r="119" spans="1:3" x14ac:dyDescent="0.3">
      <c r="A119"/>
      <c r="B119"/>
      <c r="C119" s="30"/>
    </row>
    <row r="120" spans="1:3" s="138" customFormat="1" ht="18" x14ac:dyDescent="0.35">
      <c r="A120" s="117" t="s">
        <v>973</v>
      </c>
      <c r="B120" s="117"/>
      <c r="C120" s="117"/>
    </row>
    <row r="121" spans="1:3" s="140" customFormat="1" x14ac:dyDescent="0.3">
      <c r="A121" s="1" t="s">
        <v>4</v>
      </c>
      <c r="B121" s="1" t="s">
        <v>5</v>
      </c>
      <c r="C121" s="21">
        <f>C12</f>
        <v>38642.363095717126</v>
      </c>
    </row>
    <row r="122" spans="1:3" x14ac:dyDescent="0.3">
      <c r="A122" t="s">
        <v>6</v>
      </c>
      <c r="B122" t="s">
        <v>906</v>
      </c>
      <c r="C122" s="30">
        <f>C121/$C$4</f>
        <v>0.32030871010450118</v>
      </c>
    </row>
    <row r="123" spans="1:3" x14ac:dyDescent="0.3">
      <c r="A123" t="s">
        <v>915</v>
      </c>
      <c r="B123" t="s">
        <v>7</v>
      </c>
      <c r="C123" s="30">
        <f>C121/$C$5</f>
        <v>0.80856987917635381</v>
      </c>
    </row>
    <row r="124" spans="1:3" s="140" customFormat="1" x14ac:dyDescent="0.3">
      <c r="A124" s="1" t="s">
        <v>15</v>
      </c>
      <c r="B124" s="1" t="s">
        <v>16</v>
      </c>
      <c r="C124" s="21">
        <f>'Solid Waste Emissions'!B6</f>
        <v>15127.299999999997</v>
      </c>
    </row>
    <row r="125" spans="1:3" x14ac:dyDescent="0.3">
      <c r="A125" t="s">
        <v>901</v>
      </c>
      <c r="B125" t="s">
        <v>910</v>
      </c>
      <c r="C125" s="30">
        <f>C124/$C$4</f>
        <v>0.12539103621488545</v>
      </c>
    </row>
    <row r="126" spans="1:3" x14ac:dyDescent="0.3">
      <c r="A126" t="s">
        <v>902</v>
      </c>
      <c r="B126" t="s">
        <v>17</v>
      </c>
      <c r="C126" s="30">
        <f>C124/$C$5</f>
        <v>0.31653030905400592</v>
      </c>
    </row>
    <row r="127" spans="1:3" s="140" customFormat="1" x14ac:dyDescent="0.3">
      <c r="A127" s="1" t="s">
        <v>969</v>
      </c>
      <c r="B127" s="1" t="s">
        <v>16</v>
      </c>
      <c r="C127" s="21">
        <f>'Solid Waste Emissions'!B23</f>
        <v>12789.62</v>
      </c>
    </row>
    <row r="128" spans="1:3" x14ac:dyDescent="0.3">
      <c r="A128" t="s">
        <v>971</v>
      </c>
      <c r="B128" t="s">
        <v>910</v>
      </c>
      <c r="C128" s="30">
        <f>C127/$C$4</f>
        <v>0.10601387587967608</v>
      </c>
    </row>
    <row r="129" spans="1:3" x14ac:dyDescent="0.3">
      <c r="A129" t="s">
        <v>972</v>
      </c>
      <c r="B129" t="s">
        <v>17</v>
      </c>
      <c r="C129" s="30">
        <f>C127/$C$5</f>
        <v>0.26761565985227348</v>
      </c>
    </row>
    <row r="130" spans="1:3" x14ac:dyDescent="0.3">
      <c r="A130" t="s">
        <v>970</v>
      </c>
      <c r="B130" t="s">
        <v>5</v>
      </c>
      <c r="C130" s="30">
        <f>(AVERAGE('F Solid Waste Factor Set'!B11:B12)*CH4_GWP*'Tracking Metrics'!C127)-'Emissions Summary'!D69</f>
        <v>19879.827218639999</v>
      </c>
    </row>
    <row r="131" spans="1:3" s="140" customFormat="1" x14ac:dyDescent="0.3">
      <c r="A131" s="1" t="s">
        <v>974</v>
      </c>
      <c r="B131" s="1" t="s">
        <v>5</v>
      </c>
      <c r="C131" s="21">
        <f>'Solid Waste Emissions'!E6</f>
        <v>4825.4351898689993</v>
      </c>
    </row>
    <row r="132" spans="1:3" x14ac:dyDescent="0.3">
      <c r="A132" t="s">
        <v>975</v>
      </c>
      <c r="B132" t="s">
        <v>906</v>
      </c>
      <c r="C132" s="30">
        <f>C131/$C$4</f>
        <v>3.999830231736308E-2</v>
      </c>
    </row>
    <row r="133" spans="1:3" x14ac:dyDescent="0.3">
      <c r="A133" t="s">
        <v>976</v>
      </c>
      <c r="B133" t="s">
        <v>7</v>
      </c>
      <c r="C133" s="30">
        <f>C131/$C$5</f>
        <v>0.10096953798558304</v>
      </c>
    </row>
    <row r="134" spans="1:3" s="140" customFormat="1" x14ac:dyDescent="0.3">
      <c r="A134" s="1" t="s">
        <v>903</v>
      </c>
      <c r="B134" s="1" t="s">
        <v>16</v>
      </c>
      <c r="C134" s="21">
        <f>'Solid Waste Emissions'!B7</f>
        <v>34938.200000000004</v>
      </c>
    </row>
    <row r="135" spans="1:3" s="140" customFormat="1" x14ac:dyDescent="0.3">
      <c r="A135" s="1" t="s">
        <v>977</v>
      </c>
      <c r="B135" s="1" t="s">
        <v>5</v>
      </c>
      <c r="C135" s="36">
        <f>'Solid Waste Emissions'!E7</f>
        <v>11144.885058846001</v>
      </c>
    </row>
    <row r="136" spans="1:3" x14ac:dyDescent="0.3">
      <c r="A136" t="s">
        <v>18</v>
      </c>
      <c r="B136" t="s">
        <v>19</v>
      </c>
      <c r="C136" s="30">
        <f>'Solid Waste Emissions'!E8/'Solid Waste Emissions'!B8</f>
        <v>0.31898853000000005</v>
      </c>
    </row>
  </sheetData>
  <pageMargins left="0.7" right="0.7" top="0.75" bottom="0.75" header="0.3" footer="0.3"/>
  <pageSetup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AFA886-F1C5-423E-BB7F-90AABBE43A52}">
  <sheetPr codeName="Sheet2">
    <tabColor theme="7" tint="0.39997558519241921"/>
  </sheetPr>
  <dimension ref="A1:G51"/>
  <sheetViews>
    <sheetView workbookViewId="0">
      <selection activeCell="J6" sqref="J6"/>
    </sheetView>
  </sheetViews>
  <sheetFormatPr defaultRowHeight="14.4" x14ac:dyDescent="0.3"/>
  <cols>
    <col min="1" max="1" width="8.88671875" style="104"/>
    <col min="2" max="2" width="24.5546875" style="10" bestFit="1" customWidth="1"/>
    <col min="3" max="3" width="45.21875" style="104" customWidth="1"/>
    <col min="4" max="4" width="14" style="10" bestFit="1" customWidth="1"/>
    <col min="5" max="5" width="19.5546875" style="104" bestFit="1" customWidth="1"/>
    <col min="6" max="6" width="39.109375" style="10" bestFit="1" customWidth="1"/>
    <col min="7" max="7" width="23.44140625" style="104" bestFit="1" customWidth="1"/>
    <col min="8" max="16384" width="8.88671875" style="133"/>
  </cols>
  <sheetData>
    <row r="1" spans="1:7" s="137" customFormat="1" ht="25.8" x14ac:dyDescent="0.5">
      <c r="A1" s="118" t="s">
        <v>1023</v>
      </c>
      <c r="B1" s="119"/>
      <c r="C1" s="118"/>
      <c r="D1" s="119"/>
      <c r="E1" s="118"/>
      <c r="F1" s="119"/>
      <c r="G1" s="118"/>
    </row>
    <row r="3" spans="1:7" s="138" customFormat="1" ht="18" x14ac:dyDescent="0.35">
      <c r="A3" s="117" t="s">
        <v>1023</v>
      </c>
      <c r="B3" s="120"/>
      <c r="C3" s="117"/>
      <c r="D3" s="120"/>
      <c r="E3" s="117"/>
      <c r="F3" s="120"/>
      <c r="G3" s="117"/>
    </row>
    <row r="4" spans="1:7" s="238" customFormat="1" x14ac:dyDescent="0.3">
      <c r="A4" s="236" t="s">
        <v>1024</v>
      </c>
      <c r="B4" s="236" t="s">
        <v>1025</v>
      </c>
      <c r="C4" s="236" t="s">
        <v>1026</v>
      </c>
      <c r="D4" s="237" t="s">
        <v>1027</v>
      </c>
      <c r="E4" s="236" t="s">
        <v>1028</v>
      </c>
      <c r="F4" s="236" t="s">
        <v>30</v>
      </c>
      <c r="G4" s="236" t="s">
        <v>1243</v>
      </c>
    </row>
    <row r="5" spans="1:7" ht="43.2" x14ac:dyDescent="0.3">
      <c r="A5" s="2" t="s">
        <v>1029</v>
      </c>
      <c r="B5" s="10" t="s">
        <v>2</v>
      </c>
      <c r="C5" s="10" t="s">
        <v>1030</v>
      </c>
      <c r="D5" s="10" t="s">
        <v>1031</v>
      </c>
      <c r="E5" s="104" t="s">
        <v>52</v>
      </c>
      <c r="F5" s="10" t="s">
        <v>1032</v>
      </c>
      <c r="G5" s="2" t="s">
        <v>1033</v>
      </c>
    </row>
    <row r="6" spans="1:7" ht="43.2" x14ac:dyDescent="0.3">
      <c r="A6" s="2" t="s">
        <v>1034</v>
      </c>
      <c r="B6" s="10" t="s">
        <v>3</v>
      </c>
      <c r="C6" s="10" t="s">
        <v>1035</v>
      </c>
      <c r="D6" s="10" t="s">
        <v>1036</v>
      </c>
      <c r="E6" s="104" t="s">
        <v>52</v>
      </c>
      <c r="F6" s="10" t="s">
        <v>1032</v>
      </c>
      <c r="G6" s="2" t="s">
        <v>1033</v>
      </c>
    </row>
    <row r="7" spans="1:7" ht="28.8" x14ac:dyDescent="0.3">
      <c r="A7" s="2" t="s">
        <v>1037</v>
      </c>
      <c r="B7" s="10" t="s">
        <v>843</v>
      </c>
      <c r="C7" s="104" t="s">
        <v>843</v>
      </c>
      <c r="D7" s="10" t="s">
        <v>1038</v>
      </c>
      <c r="E7" s="104" t="s">
        <v>52</v>
      </c>
      <c r="F7" s="10" t="s">
        <v>1039</v>
      </c>
      <c r="G7" s="2" t="s">
        <v>1040</v>
      </c>
    </row>
    <row r="8" spans="1:7" ht="43.2" x14ac:dyDescent="0.3">
      <c r="A8" s="2" t="s">
        <v>1041</v>
      </c>
      <c r="B8" s="10" t="s">
        <v>945</v>
      </c>
      <c r="C8" s="10" t="s">
        <v>1042</v>
      </c>
      <c r="D8" s="10" t="s">
        <v>1043</v>
      </c>
      <c r="E8" s="104" t="s">
        <v>52</v>
      </c>
      <c r="F8" s="10" t="s">
        <v>1044</v>
      </c>
      <c r="G8" s="2" t="s">
        <v>1045</v>
      </c>
    </row>
    <row r="9" spans="1:7" ht="28.8" x14ac:dyDescent="0.3">
      <c r="A9" s="2" t="s">
        <v>31</v>
      </c>
      <c r="B9" s="10" t="s">
        <v>1046</v>
      </c>
      <c r="C9" s="10" t="s">
        <v>1047</v>
      </c>
      <c r="D9" s="10" t="s">
        <v>1048</v>
      </c>
      <c r="E9" s="104" t="s">
        <v>52</v>
      </c>
      <c r="F9" s="10" t="s">
        <v>72</v>
      </c>
      <c r="G9" s="121" t="s">
        <v>72</v>
      </c>
    </row>
    <row r="10" spans="1:7" ht="43.2" x14ac:dyDescent="0.3">
      <c r="A10" s="2" t="s">
        <v>1053</v>
      </c>
      <c r="B10" s="10" t="s">
        <v>1062</v>
      </c>
      <c r="C10" s="10" t="s">
        <v>1063</v>
      </c>
      <c r="D10" s="10" t="s">
        <v>1064</v>
      </c>
      <c r="E10" s="10" t="s">
        <v>52</v>
      </c>
      <c r="F10" s="10" t="s">
        <v>1065</v>
      </c>
      <c r="G10" s="121" t="s">
        <v>1066</v>
      </c>
    </row>
    <row r="11" spans="1:7" ht="28.8" x14ac:dyDescent="0.3">
      <c r="A11" s="2" t="s">
        <v>1054</v>
      </c>
      <c r="B11" s="10" t="s">
        <v>1067</v>
      </c>
      <c r="C11" s="10" t="s">
        <v>1068</v>
      </c>
      <c r="D11" s="10" t="s">
        <v>1072</v>
      </c>
      <c r="E11" s="104" t="s">
        <v>52</v>
      </c>
      <c r="F11" s="10" t="s">
        <v>141</v>
      </c>
      <c r="G11" s="121" t="s">
        <v>1069</v>
      </c>
    </row>
    <row r="12" spans="1:7" ht="28.8" x14ac:dyDescent="0.3">
      <c r="A12" s="2" t="s">
        <v>1054</v>
      </c>
      <c r="B12" s="10" t="s">
        <v>1067</v>
      </c>
      <c r="C12" s="10" t="s">
        <v>1070</v>
      </c>
      <c r="D12" s="10" t="s">
        <v>1072</v>
      </c>
      <c r="E12" s="104" t="s">
        <v>52</v>
      </c>
      <c r="F12" s="10" t="s">
        <v>1071</v>
      </c>
      <c r="G12" s="2" t="s">
        <v>96</v>
      </c>
    </row>
    <row r="13" spans="1:7" ht="28.8" x14ac:dyDescent="0.3">
      <c r="A13" s="2" t="s">
        <v>1054</v>
      </c>
      <c r="B13" s="10" t="s">
        <v>1067</v>
      </c>
      <c r="C13" s="10" t="s">
        <v>107</v>
      </c>
      <c r="D13" s="10" t="s">
        <v>92</v>
      </c>
      <c r="E13" s="10" t="s">
        <v>52</v>
      </c>
      <c r="F13" s="10" t="s">
        <v>109</v>
      </c>
      <c r="G13" s="10" t="s">
        <v>1073</v>
      </c>
    </row>
    <row r="14" spans="1:7" ht="43.2" x14ac:dyDescent="0.3">
      <c r="A14" s="2" t="s">
        <v>1075</v>
      </c>
      <c r="B14" s="10" t="s">
        <v>1078</v>
      </c>
      <c r="C14" s="10" t="s">
        <v>1080</v>
      </c>
      <c r="D14" s="10" t="s">
        <v>43</v>
      </c>
      <c r="E14" s="10" t="s">
        <v>52</v>
      </c>
      <c r="F14" s="10" t="s">
        <v>112</v>
      </c>
      <c r="G14" s="121" t="s">
        <v>112</v>
      </c>
    </row>
    <row r="15" spans="1:7" x14ac:dyDescent="0.3">
      <c r="A15" s="2" t="s">
        <v>1074</v>
      </c>
      <c r="B15" s="10" t="s">
        <v>1079</v>
      </c>
      <c r="C15" s="10" t="s">
        <v>1081</v>
      </c>
      <c r="D15" s="10" t="s">
        <v>146</v>
      </c>
      <c r="E15" s="10" t="s">
        <v>52</v>
      </c>
      <c r="F15" s="10" t="s">
        <v>112</v>
      </c>
      <c r="G15" s="121" t="s">
        <v>112</v>
      </c>
    </row>
    <row r="16" spans="1:7" x14ac:dyDescent="0.3">
      <c r="A16" s="2" t="s">
        <v>1094</v>
      </c>
      <c r="B16" s="10" t="s">
        <v>174</v>
      </c>
      <c r="C16" s="10" t="s">
        <v>1212</v>
      </c>
      <c r="D16" s="10" t="s">
        <v>1209</v>
      </c>
      <c r="E16" s="10" t="s">
        <v>52</v>
      </c>
      <c r="F16" s="10" t="s">
        <v>1208</v>
      </c>
      <c r="G16" s="151" t="s">
        <v>185</v>
      </c>
    </row>
    <row r="17" spans="1:7" ht="28.8" x14ac:dyDescent="0.3">
      <c r="A17" s="2" t="s">
        <v>1095</v>
      </c>
      <c r="B17" s="10" t="s">
        <v>1210</v>
      </c>
      <c r="C17" s="10" t="s">
        <v>1211</v>
      </c>
      <c r="D17" s="10" t="s">
        <v>43</v>
      </c>
      <c r="E17" s="10" t="s">
        <v>52</v>
      </c>
      <c r="F17" s="10" t="s">
        <v>1213</v>
      </c>
      <c r="G17" s="157" t="s">
        <v>197</v>
      </c>
    </row>
    <row r="18" spans="1:7" x14ac:dyDescent="0.3">
      <c r="A18" s="2" t="s">
        <v>1096</v>
      </c>
      <c r="B18" s="10" t="s">
        <v>198</v>
      </c>
      <c r="C18" s="10" t="s">
        <v>1216</v>
      </c>
      <c r="D18" s="10" t="s">
        <v>1215</v>
      </c>
      <c r="E18" s="10" t="s">
        <v>52</v>
      </c>
      <c r="F18" s="10" t="s">
        <v>1214</v>
      </c>
      <c r="G18" s="60" t="s">
        <v>203</v>
      </c>
    </row>
    <row r="19" spans="1:7" ht="28.8" x14ac:dyDescent="0.3">
      <c r="A19" s="2" t="s">
        <v>1097</v>
      </c>
      <c r="B19" s="10" t="s">
        <v>204</v>
      </c>
      <c r="C19" s="10" t="s">
        <v>1217</v>
      </c>
      <c r="D19" s="10" t="s">
        <v>1220</v>
      </c>
      <c r="E19" s="10" t="s">
        <v>52</v>
      </c>
      <c r="F19" s="10" t="s">
        <v>1065</v>
      </c>
      <c r="G19" s="121" t="s">
        <v>1066</v>
      </c>
    </row>
    <row r="20" spans="1:7" ht="43.2" x14ac:dyDescent="0.3">
      <c r="A20" s="2" t="s">
        <v>1099</v>
      </c>
      <c r="B20" s="10" t="str">
        <f>'E Transportation Factor Set'!B112</f>
        <v>Mobile Combustion CH4 and N2O for On-Road Gasoline Vehicles</v>
      </c>
      <c r="C20" s="10" t="s">
        <v>1218</v>
      </c>
      <c r="D20" s="10" t="s">
        <v>1219</v>
      </c>
      <c r="E20" s="10" t="s">
        <v>52</v>
      </c>
      <c r="F20" s="10" t="s">
        <v>1065</v>
      </c>
      <c r="G20" s="121" t="s">
        <v>1066</v>
      </c>
    </row>
    <row r="21" spans="1:7" ht="43.2" x14ac:dyDescent="0.3">
      <c r="A21" s="2" t="s">
        <v>1100</v>
      </c>
      <c r="B21" s="10" t="str">
        <f>'E Transportation Factor Set'!B123</f>
        <v>Mobile Combustion CH4 and N2O for In-Road Diesel and Alternative Fuel Vehicles</v>
      </c>
      <c r="C21" s="10" t="s">
        <v>1218</v>
      </c>
      <c r="D21" s="10" t="s">
        <v>1219</v>
      </c>
      <c r="E21" s="10" t="s">
        <v>52</v>
      </c>
      <c r="F21" s="10" t="s">
        <v>1065</v>
      </c>
      <c r="G21" s="121" t="s">
        <v>1066</v>
      </c>
    </row>
    <row r="22" spans="1:7" ht="28.8" x14ac:dyDescent="0.3">
      <c r="A22" s="2" t="s">
        <v>1101</v>
      </c>
      <c r="B22" s="10" t="str">
        <f>'E Transportation Factor Set'!B132</f>
        <v>Mobile Combustion CH4 and N2O for Non-Road Vehicles</v>
      </c>
      <c r="C22" s="10" t="s">
        <v>1218</v>
      </c>
      <c r="D22" s="10" t="s">
        <v>1221</v>
      </c>
      <c r="E22" s="10" t="s">
        <v>52</v>
      </c>
      <c r="F22" s="10" t="s">
        <v>1065</v>
      </c>
      <c r="G22" s="121" t="s">
        <v>1066</v>
      </c>
    </row>
    <row r="23" spans="1:7" s="134" customFormat="1" ht="28.8" x14ac:dyDescent="0.3">
      <c r="A23" s="121" t="s">
        <v>1102</v>
      </c>
      <c r="B23" s="10" t="str">
        <f>'E Transportation Factor Set'!B150</f>
        <v>Business Travel and Employee Commuting</v>
      </c>
      <c r="C23" s="10" t="s">
        <v>1224</v>
      </c>
      <c r="D23" s="10" t="s">
        <v>170</v>
      </c>
      <c r="E23" s="10" t="s">
        <v>52</v>
      </c>
      <c r="F23" s="10" t="s">
        <v>1065</v>
      </c>
      <c r="G23" s="121" t="s">
        <v>1066</v>
      </c>
    </row>
    <row r="24" spans="1:7" ht="57.6" x14ac:dyDescent="0.3">
      <c r="A24" s="2" t="s">
        <v>1103</v>
      </c>
      <c r="B24" s="10" t="str">
        <f>'E Transportation Factor Set'!B164</f>
        <v>Upstream Transportation and Distribution and Downstream Transportation and Distribution</v>
      </c>
      <c r="C24" s="10" t="s">
        <v>1222</v>
      </c>
      <c r="D24" s="10" t="s">
        <v>170</v>
      </c>
      <c r="E24" s="10" t="s">
        <v>52</v>
      </c>
      <c r="F24" s="10" t="s">
        <v>1065</v>
      </c>
      <c r="G24" s="121" t="s">
        <v>1066</v>
      </c>
    </row>
    <row r="25" spans="1:7" ht="28.8" x14ac:dyDescent="0.3">
      <c r="A25" s="2" t="s">
        <v>1104</v>
      </c>
      <c r="B25" s="10" t="str">
        <f>'E Transportation Factor Set'!B175</f>
        <v>Scaling Factors for Full Cycle Emissions</v>
      </c>
      <c r="C25" s="10" t="s">
        <v>1225</v>
      </c>
      <c r="D25" s="10" t="s">
        <v>1226</v>
      </c>
      <c r="E25" s="10" t="s">
        <v>52</v>
      </c>
      <c r="F25" s="10" t="s">
        <v>109</v>
      </c>
    </row>
    <row r="26" spans="1:7" ht="57.6" x14ac:dyDescent="0.3">
      <c r="A26" s="2" t="s">
        <v>1105</v>
      </c>
      <c r="B26" s="10" t="str">
        <f>'E Transportation Factor Set'!B185</f>
        <v>CH4 and N2O Emissions for Diesel Medium and Heavy-Duty Vehicles (Trucks and Buses)</v>
      </c>
      <c r="C26" s="10" t="s">
        <v>1227</v>
      </c>
      <c r="D26" s="10" t="s">
        <v>170</v>
      </c>
      <c r="E26" s="10" t="s">
        <v>52</v>
      </c>
      <c r="F26" s="10" t="s">
        <v>1228</v>
      </c>
      <c r="G26" s="60" t="s">
        <v>282</v>
      </c>
    </row>
    <row r="27" spans="1:7" ht="28.8" x14ac:dyDescent="0.3">
      <c r="A27" s="2" t="s">
        <v>1106</v>
      </c>
      <c r="B27" s="10" t="str">
        <f>'F Solid Waste Factor Set'!B3</f>
        <v>Waste Characterization</v>
      </c>
      <c r="C27" s="10" t="s">
        <v>1229</v>
      </c>
      <c r="D27" s="10" t="s">
        <v>1226</v>
      </c>
      <c r="E27" s="10" t="s">
        <v>52</v>
      </c>
      <c r="F27" s="10" t="s">
        <v>64</v>
      </c>
      <c r="G27" s="139" t="s">
        <v>304</v>
      </c>
    </row>
    <row r="28" spans="1:7" x14ac:dyDescent="0.3">
      <c r="A28" s="2" t="s">
        <v>1108</v>
      </c>
      <c r="B28" s="10" t="str">
        <f>'F Solid Waste Factor Set'!B26</f>
        <v>Process Emissions</v>
      </c>
      <c r="C28" s="10" t="s">
        <v>1174</v>
      </c>
      <c r="D28" s="10" t="s">
        <v>19</v>
      </c>
      <c r="E28" s="10" t="s">
        <v>52</v>
      </c>
      <c r="F28" s="10" t="s">
        <v>109</v>
      </c>
    </row>
    <row r="29" spans="1:7" ht="28.8" x14ac:dyDescent="0.3">
      <c r="A29" s="2" t="s">
        <v>1109</v>
      </c>
      <c r="B29" s="10" t="str">
        <f>'F Solid Waste Factor Set'!B31</f>
        <v>Biological Treatment of Waste</v>
      </c>
      <c r="C29" s="10" t="s">
        <v>1230</v>
      </c>
      <c r="D29" s="10" t="s">
        <v>19</v>
      </c>
      <c r="E29" s="10" t="s">
        <v>52</v>
      </c>
      <c r="F29" s="10" t="s">
        <v>1231</v>
      </c>
    </row>
    <row r="30" spans="1:7" x14ac:dyDescent="0.3">
      <c r="A30" s="2" t="s">
        <v>53</v>
      </c>
      <c r="B30" s="10" t="s">
        <v>311</v>
      </c>
      <c r="C30" s="10" t="s">
        <v>1232</v>
      </c>
      <c r="E30" s="10" t="s">
        <v>52</v>
      </c>
      <c r="F30" s="10" t="s">
        <v>1233</v>
      </c>
    </row>
    <row r="31" spans="1:7" ht="43.2" x14ac:dyDescent="0.3">
      <c r="A31" s="2" t="s">
        <v>1113</v>
      </c>
      <c r="B31" s="10" t="str">
        <f>'H Built Environment Data'!B14</f>
        <v>Community-Wide Natural Gas and Electricity Consumption</v>
      </c>
      <c r="C31" s="10" t="s">
        <v>1234</v>
      </c>
      <c r="D31" s="10" t="s">
        <v>1235</v>
      </c>
      <c r="E31" s="10" t="s">
        <v>52</v>
      </c>
      <c r="F31" s="10" t="s">
        <v>141</v>
      </c>
      <c r="G31" s="10" t="s">
        <v>1236</v>
      </c>
    </row>
    <row r="32" spans="1:7" ht="28.8" x14ac:dyDescent="0.3">
      <c r="A32" s="2" t="s">
        <v>1114</v>
      </c>
      <c r="B32" s="10" t="str">
        <f>'H Built Environment Data'!B42</f>
        <v>Zip Code Scaling Factor</v>
      </c>
      <c r="C32" s="10" t="s">
        <v>1237</v>
      </c>
      <c r="D32" s="10" t="s">
        <v>1226</v>
      </c>
      <c r="E32" s="10" t="s">
        <v>52</v>
      </c>
      <c r="F32" s="10" t="s">
        <v>62</v>
      </c>
      <c r="G32" s="10" t="s">
        <v>1238</v>
      </c>
    </row>
    <row r="33" spans="1:7" ht="28.8" x14ac:dyDescent="0.3">
      <c r="A33" s="2" t="s">
        <v>1115</v>
      </c>
      <c r="B33" s="10" t="str">
        <f>'H Built Environment Data'!B48</f>
        <v>Choice Natural Gas Scaling Factor</v>
      </c>
      <c r="C33" s="10" t="s">
        <v>1239</v>
      </c>
      <c r="D33" s="10" t="s">
        <v>1226</v>
      </c>
      <c r="E33" s="10" t="s">
        <v>52</v>
      </c>
      <c r="F33" s="10" t="s">
        <v>367</v>
      </c>
      <c r="G33" s="2" t="s">
        <v>367</v>
      </c>
    </row>
    <row r="34" spans="1:7" ht="86.4" x14ac:dyDescent="0.3">
      <c r="A34" s="2" t="s">
        <v>1116</v>
      </c>
      <c r="B34" s="10" t="str">
        <f>'H Built Environment Data'!B53</f>
        <v>House Heating Fuel</v>
      </c>
      <c r="C34" s="10" t="s">
        <v>1240</v>
      </c>
      <c r="D34" s="10" t="s">
        <v>1241</v>
      </c>
      <c r="E34" s="10" t="s">
        <v>52</v>
      </c>
      <c r="F34" s="10" t="s">
        <v>1242</v>
      </c>
      <c r="G34" s="139" t="s">
        <v>371</v>
      </c>
    </row>
    <row r="35" spans="1:7" ht="72" x14ac:dyDescent="0.3">
      <c r="A35" s="2" t="s">
        <v>1117</v>
      </c>
      <c r="B35" s="10" t="str">
        <f>'H Built Environment Data'!B69</f>
        <v>University of Michigan Natural Gas and Electricity Consumption</v>
      </c>
      <c r="C35" s="10" t="s">
        <v>1244</v>
      </c>
      <c r="D35" s="10" t="s">
        <v>1245</v>
      </c>
      <c r="E35" s="10" t="s">
        <v>52</v>
      </c>
      <c r="F35" s="10" t="s">
        <v>1044</v>
      </c>
      <c r="G35" s="2" t="s">
        <v>1045</v>
      </c>
    </row>
    <row r="36" spans="1:7" ht="57.6" x14ac:dyDescent="0.3">
      <c r="A36" s="2" t="s">
        <v>1118</v>
      </c>
      <c r="B36" s="10" t="str">
        <f>'H Built Environment Data'!B76</f>
        <v>Transmission and Distribution Losses</v>
      </c>
      <c r="C36" s="10" t="s">
        <v>1246</v>
      </c>
      <c r="D36" s="10" t="s">
        <v>25</v>
      </c>
      <c r="E36" s="10" t="s">
        <v>52</v>
      </c>
      <c r="F36" s="10" t="s">
        <v>1147</v>
      </c>
      <c r="G36" s="174" t="s">
        <v>415</v>
      </c>
    </row>
    <row r="37" spans="1:7" ht="28.8" x14ac:dyDescent="0.3">
      <c r="A37" s="2" t="s">
        <v>1119</v>
      </c>
      <c r="B37" s="10" t="str">
        <f>'H Built Environment Data'!B86</f>
        <v>Emissions from Electric Power Production</v>
      </c>
      <c r="C37" s="10" t="s">
        <v>1248</v>
      </c>
      <c r="D37" s="10" t="s">
        <v>714</v>
      </c>
      <c r="E37" s="10" t="s">
        <v>52</v>
      </c>
      <c r="F37" s="10" t="s">
        <v>1249</v>
      </c>
      <c r="G37" s="176" t="s">
        <v>419</v>
      </c>
    </row>
    <row r="38" spans="1:7" ht="28.8" x14ac:dyDescent="0.3">
      <c r="A38" s="2" t="s">
        <v>1119</v>
      </c>
      <c r="B38" s="10" t="str">
        <f>B37</f>
        <v>Emissions from Electric Power Production</v>
      </c>
      <c r="C38" s="104" t="s">
        <v>1247</v>
      </c>
      <c r="D38" s="10" t="s">
        <v>5</v>
      </c>
      <c r="E38" s="10" t="s">
        <v>52</v>
      </c>
      <c r="F38" s="10" t="s">
        <v>1250</v>
      </c>
      <c r="G38" s="139" t="s">
        <v>990</v>
      </c>
    </row>
    <row r="39" spans="1:7" ht="28.8" x14ac:dyDescent="0.3">
      <c r="A39" s="2" t="s">
        <v>805</v>
      </c>
      <c r="B39" s="10" t="str">
        <f>'I Transportation Data'!B5</f>
        <v>Inboundary Onroad VMT</v>
      </c>
      <c r="C39" s="10" t="s">
        <v>1251</v>
      </c>
      <c r="D39" s="10" t="s">
        <v>13</v>
      </c>
      <c r="E39" s="10" t="s">
        <v>52</v>
      </c>
      <c r="F39" s="10" t="s">
        <v>1148</v>
      </c>
      <c r="G39" s="10" t="s">
        <v>424</v>
      </c>
    </row>
    <row r="40" spans="1:7" ht="28.8" x14ac:dyDescent="0.3">
      <c r="A40" s="2" t="s">
        <v>806</v>
      </c>
      <c r="B40" s="10" t="str">
        <f>'I Transportation Data'!B12</f>
        <v>Vehicle Characterization Data</v>
      </c>
      <c r="C40" s="10" t="s">
        <v>1259</v>
      </c>
      <c r="D40" s="10" t="s">
        <v>1226</v>
      </c>
      <c r="E40" s="10" t="s">
        <v>52</v>
      </c>
      <c r="F40" s="10" t="s">
        <v>1260</v>
      </c>
      <c r="G40" s="10" t="s">
        <v>424</v>
      </c>
    </row>
    <row r="41" spans="1:7" ht="43.2" x14ac:dyDescent="0.3">
      <c r="A41" s="2" t="s">
        <v>810</v>
      </c>
      <c r="B41" s="10" t="str">
        <f>'I Transportation Data'!B31</f>
        <v>Electric Vehicles</v>
      </c>
      <c r="C41" s="10" t="s">
        <v>1252</v>
      </c>
      <c r="D41" s="10" t="s">
        <v>978</v>
      </c>
      <c r="E41" s="10" t="s">
        <v>52</v>
      </c>
      <c r="F41" s="10" t="s">
        <v>1253</v>
      </c>
      <c r="G41" s="139" t="s">
        <v>444</v>
      </c>
    </row>
    <row r="42" spans="1:7" x14ac:dyDescent="0.3">
      <c r="A42" s="2" t="s">
        <v>818</v>
      </c>
      <c r="B42" s="10" t="str">
        <f>'I Transportation Data'!B39</f>
        <v>Community-Wide Buses</v>
      </c>
      <c r="C42" s="10" t="s">
        <v>1254</v>
      </c>
      <c r="D42" s="10" t="s">
        <v>1255</v>
      </c>
      <c r="E42" s="10" t="s">
        <v>52</v>
      </c>
      <c r="F42" s="10" t="s">
        <v>37</v>
      </c>
      <c r="G42" s="10" t="s">
        <v>1256</v>
      </c>
    </row>
    <row r="43" spans="1:7" ht="28.8" x14ac:dyDescent="0.3">
      <c r="A43" s="2" t="s">
        <v>818</v>
      </c>
      <c r="B43" s="10" t="str">
        <f>B42</f>
        <v>Community-Wide Buses</v>
      </c>
      <c r="C43" s="10" t="s">
        <v>1257</v>
      </c>
      <c r="D43" s="10" t="s">
        <v>44</v>
      </c>
      <c r="E43" s="10" t="s">
        <v>52</v>
      </c>
      <c r="F43" s="10" t="s">
        <v>1258</v>
      </c>
      <c r="G43" s="2" t="s">
        <v>1045</v>
      </c>
    </row>
    <row r="44" spans="1:7" ht="28.8" x14ac:dyDescent="0.3">
      <c r="A44" s="2" t="s">
        <v>819</v>
      </c>
      <c r="B44" s="10" t="str">
        <f>'I Transportation Data'!B60</f>
        <v>Railway, Passenger</v>
      </c>
      <c r="C44" s="10" t="s">
        <v>1261</v>
      </c>
      <c r="D44" s="10" t="s">
        <v>1262</v>
      </c>
      <c r="E44" s="10" t="s">
        <v>52</v>
      </c>
      <c r="F44" s="10" t="s">
        <v>459</v>
      </c>
      <c r="G44" s="139" t="s">
        <v>459</v>
      </c>
    </row>
    <row r="45" spans="1:7" x14ac:dyDescent="0.3">
      <c r="A45" s="2" t="s">
        <v>820</v>
      </c>
      <c r="B45" s="10" t="str">
        <f>'I Transportation Data'!B66</f>
        <v>Railway, Freight</v>
      </c>
      <c r="C45" s="10" t="s">
        <v>1263</v>
      </c>
      <c r="D45" s="10" t="s">
        <v>1264</v>
      </c>
      <c r="E45" s="10" t="s">
        <v>52</v>
      </c>
      <c r="F45" s="10" t="s">
        <v>1149</v>
      </c>
      <c r="G45" s="10" t="s">
        <v>463</v>
      </c>
    </row>
    <row r="46" spans="1:7" x14ac:dyDescent="0.3">
      <c r="A46" s="2" t="s">
        <v>821</v>
      </c>
      <c r="B46" s="10" t="str">
        <f>'I Transportation Data'!B71</f>
        <v>Aviation, Municipal</v>
      </c>
      <c r="C46" s="10" t="s">
        <v>1265</v>
      </c>
      <c r="D46" s="10" t="s">
        <v>44</v>
      </c>
      <c r="E46" s="10" t="s">
        <v>52</v>
      </c>
      <c r="F46" s="10" t="s">
        <v>1277</v>
      </c>
      <c r="G46" s="10" t="s">
        <v>1266</v>
      </c>
    </row>
    <row r="47" spans="1:7" ht="28.8" x14ac:dyDescent="0.3">
      <c r="A47" s="2" t="s">
        <v>822</v>
      </c>
      <c r="B47" s="10" t="str">
        <f>'I Transportation Data'!B77</f>
        <v>Washtenaw County Means of Transportation</v>
      </c>
      <c r="C47" s="10" t="s">
        <v>1267</v>
      </c>
      <c r="D47" s="10" t="s">
        <v>1268</v>
      </c>
      <c r="E47" s="10" t="s">
        <v>52</v>
      </c>
      <c r="F47" s="10" t="s">
        <v>1269</v>
      </c>
      <c r="G47" s="10" t="s">
        <v>1270</v>
      </c>
    </row>
    <row r="48" spans="1:7" ht="28.8" x14ac:dyDescent="0.3">
      <c r="A48" s="2" t="s">
        <v>1271</v>
      </c>
      <c r="B48" s="10" t="s">
        <v>1201</v>
      </c>
      <c r="C48" s="10" t="s">
        <v>1272</v>
      </c>
      <c r="D48" s="10" t="s">
        <v>1268</v>
      </c>
      <c r="E48" s="10" t="s">
        <v>52</v>
      </c>
      <c r="F48" s="10" t="s">
        <v>1273</v>
      </c>
      <c r="G48" s="121" t="s">
        <v>1274</v>
      </c>
    </row>
    <row r="49" spans="1:7" ht="28.8" x14ac:dyDescent="0.3">
      <c r="A49" s="2" t="s">
        <v>1122</v>
      </c>
      <c r="B49" s="10" t="str">
        <f>'K Solid Waste Data'!B5</f>
        <v>Mass of Solid Waste Sent by Community to Facility</v>
      </c>
      <c r="C49" s="10" t="s">
        <v>1275</v>
      </c>
      <c r="D49" s="10" t="s">
        <v>47</v>
      </c>
      <c r="E49" s="10" t="s">
        <v>52</v>
      </c>
      <c r="F49" s="10" t="s">
        <v>1276</v>
      </c>
      <c r="G49" s="10" t="s">
        <v>1266</v>
      </c>
    </row>
    <row r="50" spans="1:7" x14ac:dyDescent="0.3">
      <c r="A50" s="2" t="s">
        <v>1123</v>
      </c>
      <c r="B50" s="10" t="str">
        <f>'K Solid Waste Data'!B17</f>
        <v>Inboundary Landfills</v>
      </c>
      <c r="C50" s="10" t="s">
        <v>1278</v>
      </c>
      <c r="D50" s="10" t="s">
        <v>5</v>
      </c>
      <c r="E50" s="10" t="s">
        <v>52</v>
      </c>
      <c r="F50" s="10" t="s">
        <v>1279</v>
      </c>
      <c r="G50" s="139" t="s">
        <v>674</v>
      </c>
    </row>
    <row r="51" spans="1:7" ht="28.8" x14ac:dyDescent="0.3">
      <c r="A51" s="2" t="s">
        <v>1280</v>
      </c>
      <c r="B51" s="10" t="s">
        <v>675</v>
      </c>
      <c r="C51" s="10" t="s">
        <v>1281</v>
      </c>
      <c r="D51" s="10" t="s">
        <v>1282</v>
      </c>
      <c r="E51" s="10" t="s">
        <v>52</v>
      </c>
      <c r="F51" s="10" t="s">
        <v>1283</v>
      </c>
      <c r="G51" s="10" t="s">
        <v>1284</v>
      </c>
    </row>
  </sheetData>
  <hyperlinks>
    <hyperlink ref="G5" r:id="rId1" xr:uid="{D5051FFA-05F3-4941-BB9B-F757585E75B7}"/>
    <hyperlink ref="G6" r:id="rId2" xr:uid="{EA24D388-F9E7-45F0-94B5-6867612643EA}"/>
    <hyperlink ref="G7" r:id="rId3" xr:uid="{4D0D1C12-A76F-4522-A5EF-5AB70300FBBB}"/>
    <hyperlink ref="G8" r:id="rId4" xr:uid="{8340A88F-CCAF-427B-8814-D5E0BEE2DF49}"/>
    <hyperlink ref="G9" r:id="rId5" xr:uid="{D3017027-658F-4E5E-A3E9-4C19E111DFF4}"/>
    <hyperlink ref="G10" r:id="rId6" xr:uid="{24C835AA-2437-4724-A299-42E846C2FD5D}"/>
    <hyperlink ref="G11" r:id="rId7" xr:uid="{F8B83D6B-0472-4497-B4BF-25CED0218F73}"/>
    <hyperlink ref="G12" r:id="rId8" xr:uid="{C1B647F8-DD58-4D4E-BB27-812109EEF768}"/>
    <hyperlink ref="G14" r:id="rId9" xr:uid="{BBD96D85-4EC8-4CFA-810F-3AAD554C3120}"/>
    <hyperlink ref="G15" r:id="rId10" xr:uid="{16CF2808-D1E5-4985-9F27-E8967A43DAC7}"/>
    <hyperlink ref="A5" location="'A Community Indicators Data'!A1" display="A.1" xr:uid="{BB15163F-0A6B-43A7-B467-EE4A5E09D40A}"/>
    <hyperlink ref="A6" location="'A Community Indicators Data'!A1" display="A.2" xr:uid="{E8BEDF20-A697-42A6-ABC4-CA8A8F3DEA2D}"/>
    <hyperlink ref="A7" location="'A Community Indicators Data'!A1" display="A.3" xr:uid="{691A22FB-0A3E-4965-A8DD-A21439D96A3C}"/>
    <hyperlink ref="A8" location="'A Community Indicators Data'!A1" display="A.4" xr:uid="{E9FFAD03-0880-425B-9ACF-E0C1FA95B91D}"/>
    <hyperlink ref="A9" location="'B Climate Data'!A1" display="B" xr:uid="{56D02D9F-BF7A-4E0C-BB64-F1AE5286BB59}"/>
    <hyperlink ref="A10" location="'C Stationary Fuel Factor Set'!A1" display="C.1" xr:uid="{95A8433A-B772-4BEE-A43D-3047751E1D36}"/>
    <hyperlink ref="A11" location="'C Stationary Fuel Factor Set'!A1" display="C.2" xr:uid="{A0209BE7-8BB7-4320-B16E-47AE63E368DC}"/>
    <hyperlink ref="A12" location="'C Stationary Fuel Factor Set'!A1" display="C.2" xr:uid="{A9F2454E-ADBD-4226-903A-4632E4DB209A}"/>
    <hyperlink ref="A13" location="'C Stationary Fuel Factor Set'!A1" display="C.2" xr:uid="{637B1143-7873-4886-9072-EF6C8F54EEF5}"/>
    <hyperlink ref="A14" location="'D Grid Energy Factor Set'!A1" display="D.1" xr:uid="{622E9600-895C-47D3-83EA-2E7EC0D318DF}"/>
    <hyperlink ref="A15" location="'D Grid Energy Factor Set'!A1" display="D.2" xr:uid="{992C5D94-5699-4D22-9B49-661D87AEAE86}"/>
    <hyperlink ref="G16" r:id="rId11" xr:uid="{A47EFCFE-4963-473A-BD9A-F2F388F6B9EF}"/>
    <hyperlink ref="G17" r:id="rId12" xr:uid="{CEE437E7-852A-459C-BD79-CD70260F32AE}"/>
    <hyperlink ref="G18" r:id="rId13" xr:uid="{FC529A28-AA11-43EF-935C-AB25015FCFE8}"/>
    <hyperlink ref="A16" location="'E Transportation Factor Set'!A1" display="E.5" xr:uid="{87B159F9-F5E1-4706-89F4-984A4414ED27}"/>
    <hyperlink ref="A17" location="'E Transportation Factor Set'!A1" display="E.6" xr:uid="{14E20BEE-30DC-4B1F-9383-F3D433114D4C}"/>
    <hyperlink ref="A18" location="'E Transportation Factor Set'!A1" display="E.7" xr:uid="{8F8C3E1B-34AB-4FD3-8FFF-890C3E38DD91}"/>
    <hyperlink ref="G19" r:id="rId14" xr:uid="{93F42CC3-2F20-46B2-9257-198C20A74BC6}"/>
    <hyperlink ref="G20" r:id="rId15" xr:uid="{9F790DBC-8425-481D-9936-7BC22FD064FC}"/>
    <hyperlink ref="G21" r:id="rId16" xr:uid="{5C7EF58A-15EB-4EAB-B1B2-0C1C53085A57}"/>
    <hyperlink ref="G22" r:id="rId17" xr:uid="{E3C6FB69-8F8A-40B0-B327-BF2337F91E72}"/>
    <hyperlink ref="G23" r:id="rId18" xr:uid="{C10E2217-E0AE-4C81-B820-C43D718076F2}"/>
    <hyperlink ref="G24" r:id="rId19" xr:uid="{FE95AAF8-8AE6-4704-A9FD-9A26735CE396}"/>
    <hyperlink ref="G26" r:id="rId20" xr:uid="{4330A937-E8FF-4D64-A7AD-3B0AAACCA52B}"/>
    <hyperlink ref="A19" location="'E Transportation Factor Set'!A1" display="E.8" xr:uid="{88A197BE-0863-42E7-9508-893A3E952DA1}"/>
    <hyperlink ref="A20" location="'E Transportation Factor Set'!A1" display="E.9" xr:uid="{A2516BE7-6489-4086-B98B-42E5B950AFF6}"/>
    <hyperlink ref="A21" location="'E Transportation Factor Set'!A1" display="E.10" xr:uid="{47E1A4E7-0EBF-4E55-92E7-C8DF68ABF8A1}"/>
    <hyperlink ref="A22" location="'E Transportation Factor Set'!A1" display="E.11" xr:uid="{79BEBA74-663D-4EC1-A6EA-3357C99B6991}"/>
    <hyperlink ref="A23" location="'E Transportation Factor Set'!A1" display="E.12" xr:uid="{451C911C-B566-41A6-86DE-D61447AA0A6A}"/>
    <hyperlink ref="A24" location="'E Transportation Factor Set'!A1" display="E.13" xr:uid="{1E2D9536-FD38-40C2-987A-13DF011AD30E}"/>
    <hyperlink ref="A25" location="'E Transportation Factor Set'!A1" display="E.14" xr:uid="{6DE7F42B-C0C3-43FB-95AA-F10A9C173A2E}"/>
    <hyperlink ref="A26" location="'E Transportation Factor Set'!A1" display="E.15" xr:uid="{5502DFBB-1448-4A47-A7CB-EF69E386E2B7}"/>
    <hyperlink ref="G27" r:id="rId21" xr:uid="{4F94C237-3BEC-4E7D-8883-899D562C3D9D}"/>
    <hyperlink ref="A27" location="'F Solid Waste Factor Set'!A1" display="F.1" xr:uid="{7C871AA5-D465-4962-9088-7D0C184AF87D}"/>
    <hyperlink ref="A28" location="'F Solid Waste Factor Set'!A1" display="F.3" xr:uid="{70EAF754-399D-4D31-BBAB-D61E76A8A01D}"/>
    <hyperlink ref="A29" location="'F Solid Waste Factor Set'!A1" display="F.4" xr:uid="{9FFF3376-AE22-4FAC-BB07-0159B93A1BD8}"/>
    <hyperlink ref="A30" location="'G Wastewater Factor Set'!A1" display="G" xr:uid="{0855224F-B2A2-4FB1-890A-7D4CE23D88CB}"/>
    <hyperlink ref="G33" r:id="rId22" xr:uid="{50931678-A77B-4DE8-85B1-1F20A9B1F5CA}"/>
    <hyperlink ref="G34" r:id="rId23" xr:uid="{1F002919-0B50-4CED-B7AF-125FF4ABF93C}"/>
    <hyperlink ref="G35" r:id="rId24" xr:uid="{69990C97-ED2D-44E9-9C73-5B69C1B249AD}"/>
    <hyperlink ref="G36" r:id="rId25" location="SupplyDistribution" xr:uid="{7D700EE2-E8F7-497B-9F83-077F3ECFBFA5}"/>
    <hyperlink ref="G37" r:id="rId26" xr:uid="{2E77103A-7B47-43D0-AC09-E012AB33D69B}"/>
    <hyperlink ref="G38" r:id="rId27" xr:uid="{1D911FBB-B9F7-43EB-8F94-382F85B072B3}"/>
    <hyperlink ref="A31" location="'H Built Environment Data'!A1" display="H.1" xr:uid="{238900B1-55A4-4525-949A-3C350B3DCCC6}"/>
    <hyperlink ref="A32" location="'H Built Environment Data'!A1" display="H.2" xr:uid="{3B5A6F96-23E7-4965-B61C-353F5073E239}"/>
    <hyperlink ref="A33" location="'H Built Environment Data'!A1" display="H.3" xr:uid="{02997C22-41C8-46E2-B2C1-F5B9590EE6EF}"/>
    <hyperlink ref="A34" location="'H Built Environment Data'!A1" display="H.4" xr:uid="{CCC01677-0C37-4E14-8935-73323F031C2B}"/>
    <hyperlink ref="A35" location="'H Built Environment Data'!A1" display="H.5" xr:uid="{2D394776-F69B-4E7B-AD56-8AB9B7ACD0C2}"/>
    <hyperlink ref="A36" location="'H Built Environment Data'!A1" display="H.6" xr:uid="{C6F601EF-4A1A-4F2B-A880-9FCEE57F849A}"/>
    <hyperlink ref="A37" location="'H Built Environment Data'!A1" display="H.7" xr:uid="{EFB7547C-9043-4BBB-9016-13E95F3EB5F3}"/>
    <hyperlink ref="A38" location="'H Built Environment Data'!A1" display="H.7" xr:uid="{52D15FB7-53DA-4643-B1C5-77FC0592D893}"/>
    <hyperlink ref="G41" r:id="rId28" xr:uid="{6484ABDC-E3F1-46A5-ACCD-32B24020CFC5}"/>
    <hyperlink ref="G43" r:id="rId29" xr:uid="{DAF6DE46-E314-4496-822D-29A1DF237E6D}"/>
    <hyperlink ref="G44" r:id="rId30" xr:uid="{850A1959-CF8D-4170-BC52-88016B395001}"/>
    <hyperlink ref="A39" location="'I Transportation Data'!A1" display="I.1" xr:uid="{6FAB28F1-6165-4151-941D-A87C0306ED4C}"/>
    <hyperlink ref="A40" location="'I Transportation Data'!A1" display="I.2" xr:uid="{128A522E-5C84-4928-9BCC-A7224F4B0516}"/>
    <hyperlink ref="A41" location="'I Transportation Data'!A1" display="I.3" xr:uid="{60785879-34CA-4420-B3B8-0463AD1D15E4}"/>
    <hyperlink ref="A42" location="'I Transportation Data'!A1" display="I.4" xr:uid="{453E2D2E-492B-437F-8C8E-0FB9382F15D5}"/>
    <hyperlink ref="A43" location="'I Transportation Data'!A1" display="I.4" xr:uid="{9BEC08B9-56C4-4CC9-8E76-9AFA87627CA0}"/>
    <hyperlink ref="A44" location="'I Transportation Data'!A1" display="I.5" xr:uid="{30558494-FFE5-4767-8C48-C53EBA701DA6}"/>
    <hyperlink ref="A45" location="'I Transportation Data'!A1" display="I.6" xr:uid="{1C8D54E1-02AA-46D9-B108-C67E800F9065}"/>
    <hyperlink ref="A46" location="'I Transportation Data'!A1" display="I.7" xr:uid="{3CF3F8AA-8624-4BBC-B63A-75CDAB47004F}"/>
    <hyperlink ref="A47" location="'I Transportation Data'!A1" display="I.8" xr:uid="{847CE337-BD6D-48C9-BD01-11DD6342594E}"/>
    <hyperlink ref="G48" r:id="rId31" xr:uid="{01D6864F-5636-4930-87A2-8B5764DB41F5}"/>
    <hyperlink ref="A48" location="'J Commuting Data'!A1" display="J" xr:uid="{98FFC38D-FFC8-4F6B-9585-8214B4E5A95F}"/>
    <hyperlink ref="G50" r:id="rId32" xr:uid="{CFBBCAEC-BC51-4B5C-8654-9FE55A311FAA}"/>
    <hyperlink ref="A49" location="'K Solid Waste Data'!A1" display="K.1" xr:uid="{4680D992-A4DA-484E-8171-21028176A6AF}"/>
    <hyperlink ref="A50" location="'K Solid Waste Data'!A1" display="K.2" xr:uid="{39401631-01D4-4EAF-B85B-984189B4EB12}"/>
    <hyperlink ref="A51" location="'L Water and Wastewater Data'!A1" display="L" xr:uid="{81989E42-C804-41FC-8F2A-20B3CBE3C7F1}"/>
  </hyperlinks>
  <pageMargins left="0.7" right="0.7" top="0.75" bottom="0.75" header="0.3" footer="0.3"/>
  <pageSetup orientation="portrait" horizontalDpi="300" verticalDpi="300" r:id="rId3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>
    <tabColor theme="4" tint="0.39997558519241921"/>
  </sheetPr>
  <dimension ref="A1:AH37"/>
  <sheetViews>
    <sheetView workbookViewId="0">
      <selection activeCell="K15" sqref="K15"/>
    </sheetView>
  </sheetViews>
  <sheetFormatPr defaultRowHeight="14.4" x14ac:dyDescent="0.3"/>
  <cols>
    <col min="1" max="1" width="24.33203125" style="133" bestFit="1" customWidth="1"/>
    <col min="2" max="19" width="15.5546875" style="133" bestFit="1" customWidth="1"/>
    <col min="20" max="20" width="17.21875" style="133" bestFit="1" customWidth="1"/>
    <col min="21" max="16384" width="8.88671875" style="133"/>
  </cols>
  <sheetData>
    <row r="1" spans="1:34" ht="25.8" x14ac:dyDescent="0.5">
      <c r="A1" s="118" t="s">
        <v>60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118"/>
      <c r="S1" s="118"/>
      <c r="T1" s="118"/>
      <c r="U1" s="118"/>
      <c r="V1" s="118"/>
      <c r="W1" s="118"/>
      <c r="X1" s="118"/>
      <c r="Y1" s="118"/>
      <c r="Z1" s="118"/>
      <c r="AA1" s="118"/>
      <c r="AB1" s="118"/>
      <c r="AC1" s="118"/>
      <c r="AD1" s="118"/>
      <c r="AE1" s="118"/>
      <c r="AF1" s="118"/>
      <c r="AG1" s="118"/>
      <c r="AH1" s="118"/>
    </row>
    <row r="3" spans="1:34" x14ac:dyDescent="0.3">
      <c r="A3" s="140"/>
    </row>
    <row r="5" spans="1:34" ht="18" x14ac:dyDescent="0.35">
      <c r="A5" s="117" t="s">
        <v>1029</v>
      </c>
      <c r="B5" s="117" t="s">
        <v>2</v>
      </c>
      <c r="C5" s="117"/>
      <c r="D5" s="117"/>
      <c r="E5" s="117"/>
      <c r="F5" s="117"/>
      <c r="G5" s="117"/>
      <c r="H5" s="117"/>
      <c r="I5" s="117"/>
      <c r="J5" s="117"/>
      <c r="K5" s="117"/>
      <c r="L5" s="117"/>
      <c r="M5" s="117"/>
      <c r="N5" s="117"/>
      <c r="O5" s="117"/>
      <c r="P5" s="117"/>
      <c r="Q5" s="117"/>
      <c r="R5" s="117"/>
      <c r="S5" s="117"/>
      <c r="T5" s="117"/>
      <c r="U5" s="117"/>
      <c r="V5" s="117"/>
      <c r="W5" s="117"/>
      <c r="X5" s="117"/>
      <c r="Y5" s="117"/>
      <c r="Z5" s="117"/>
      <c r="AA5" s="117"/>
      <c r="AB5" s="117"/>
      <c r="AC5" s="117"/>
      <c r="AD5" s="117"/>
      <c r="AE5" s="117"/>
      <c r="AF5" s="117"/>
      <c r="AG5" s="117"/>
      <c r="AH5" s="117"/>
    </row>
    <row r="6" spans="1:34" x14ac:dyDescent="0.3">
      <c r="A6" s="124" t="s">
        <v>61</v>
      </c>
      <c r="B6" s="124">
        <v>2010</v>
      </c>
      <c r="C6" s="124">
        <v>2011</v>
      </c>
      <c r="D6" s="124">
        <v>2012</v>
      </c>
      <c r="E6" s="124">
        <v>2013</v>
      </c>
      <c r="F6" s="124">
        <v>2014</v>
      </c>
      <c r="G6" s="124">
        <v>2015</v>
      </c>
      <c r="H6" s="124">
        <v>2016</v>
      </c>
      <c r="I6" s="124">
        <v>2017</v>
      </c>
      <c r="J6" s="124">
        <v>2018</v>
      </c>
      <c r="K6" s="125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6"/>
      <c r="W6" s="126"/>
      <c r="X6" s="126"/>
      <c r="Y6" s="126"/>
      <c r="Z6" s="126"/>
      <c r="AA6" s="126"/>
      <c r="AB6" s="126"/>
      <c r="AC6" s="126"/>
      <c r="AD6" s="126"/>
      <c r="AE6" s="126"/>
      <c r="AF6" s="126"/>
      <c r="AG6" s="126"/>
      <c r="AH6" s="126"/>
    </row>
    <row r="7" spans="1:34" x14ac:dyDescent="0.3">
      <c r="A7" s="7" t="s">
        <v>62</v>
      </c>
      <c r="B7" s="69">
        <v>115204</v>
      </c>
      <c r="C7" s="69">
        <v>114783</v>
      </c>
      <c r="D7" s="69">
        <v>114725</v>
      </c>
      <c r="E7" s="69">
        <v>115331</v>
      </c>
      <c r="F7" s="69">
        <v>115985</v>
      </c>
      <c r="G7" s="69">
        <v>116194</v>
      </c>
      <c r="H7" s="69">
        <v>118087</v>
      </c>
      <c r="I7" s="69">
        <v>119303</v>
      </c>
      <c r="J7" s="69">
        <v>120641</v>
      </c>
      <c r="K7" s="122"/>
      <c r="L7" s="122"/>
      <c r="M7" s="122"/>
      <c r="N7" s="122"/>
      <c r="O7" s="122"/>
      <c r="P7" s="122"/>
      <c r="Q7" s="122"/>
      <c r="R7" s="122"/>
      <c r="S7" s="122"/>
      <c r="T7" s="122"/>
      <c r="U7" s="122"/>
      <c r="V7" s="123"/>
      <c r="W7" s="123"/>
      <c r="X7" s="123"/>
      <c r="Y7" s="123"/>
      <c r="Z7" s="123"/>
      <c r="AA7" s="123"/>
      <c r="AB7" s="123"/>
      <c r="AC7" s="123"/>
      <c r="AD7" s="123"/>
      <c r="AE7" s="123"/>
      <c r="AF7" s="123"/>
      <c r="AG7" s="123"/>
      <c r="AH7" s="123"/>
    </row>
    <row r="8" spans="1:34" x14ac:dyDescent="0.3">
      <c r="A8" s="7" t="s">
        <v>63</v>
      </c>
      <c r="B8" s="69">
        <v>343947</v>
      </c>
      <c r="C8" s="69">
        <v>344727</v>
      </c>
      <c r="D8" s="69">
        <v>346010</v>
      </c>
      <c r="E8" s="69">
        <v>348560</v>
      </c>
      <c r="F8" s="69">
        <v>351454</v>
      </c>
      <c r="G8" s="69">
        <v>354092</v>
      </c>
      <c r="H8" s="69">
        <v>358082</v>
      </c>
      <c r="I8" s="69">
        <v>361509</v>
      </c>
      <c r="J8" s="69">
        <v>365961</v>
      </c>
      <c r="K8" s="122"/>
      <c r="L8" s="122"/>
      <c r="M8" s="122"/>
      <c r="N8" s="122"/>
      <c r="O8" s="122"/>
      <c r="P8" s="122"/>
      <c r="Q8" s="122"/>
      <c r="R8" s="122"/>
      <c r="S8" s="122"/>
      <c r="T8" s="122"/>
      <c r="U8" s="122"/>
      <c r="V8" s="123"/>
      <c r="W8" s="123"/>
      <c r="X8" s="123"/>
      <c r="Y8" s="123"/>
      <c r="Z8" s="123"/>
      <c r="AA8" s="123"/>
      <c r="AB8" s="123"/>
      <c r="AC8" s="123"/>
      <c r="AD8" s="123"/>
      <c r="AE8" s="123"/>
      <c r="AF8" s="123"/>
      <c r="AG8" s="123"/>
      <c r="AH8" s="123"/>
    </row>
    <row r="9" spans="1:34" x14ac:dyDescent="0.3">
      <c r="A9" s="7" t="s">
        <v>64</v>
      </c>
      <c r="B9" s="69">
        <v>9952687</v>
      </c>
      <c r="C9" s="69">
        <v>9920621</v>
      </c>
      <c r="D9" s="69">
        <v>9897264</v>
      </c>
      <c r="E9" s="69">
        <v>9886095</v>
      </c>
      <c r="F9" s="69">
        <v>9889024</v>
      </c>
      <c r="G9" s="69">
        <v>9900571</v>
      </c>
      <c r="H9" s="69">
        <v>9909600</v>
      </c>
      <c r="I9" s="69">
        <v>9925568</v>
      </c>
      <c r="J9" s="69">
        <v>9957488</v>
      </c>
      <c r="K9" s="122"/>
      <c r="L9" s="122"/>
      <c r="M9" s="122"/>
      <c r="N9" s="122"/>
      <c r="O9" s="122"/>
      <c r="P9" s="122"/>
      <c r="Q9" s="122"/>
      <c r="R9" s="122"/>
      <c r="S9" s="122"/>
      <c r="T9" s="122"/>
      <c r="U9" s="122"/>
      <c r="V9" s="123"/>
      <c r="W9" s="123"/>
      <c r="X9" s="123"/>
      <c r="Y9" s="123"/>
      <c r="Z9" s="123"/>
      <c r="AA9" s="123"/>
      <c r="AB9" s="123"/>
      <c r="AC9" s="123"/>
      <c r="AD9" s="123"/>
      <c r="AE9" s="123"/>
      <c r="AF9" s="123"/>
      <c r="AG9" s="123"/>
      <c r="AH9" s="123"/>
    </row>
    <row r="10" spans="1:34" x14ac:dyDescent="0.3">
      <c r="A10" s="7" t="s">
        <v>65</v>
      </c>
      <c r="B10" s="40">
        <f>B7/B8</f>
        <v>0.33494695403652308</v>
      </c>
      <c r="C10" s="40">
        <f t="shared" ref="C10:J10" si="0">C7/C8</f>
        <v>0.33296782671505276</v>
      </c>
      <c r="D10" s="40">
        <f t="shared" si="0"/>
        <v>0.3315655616889685</v>
      </c>
      <c r="E10" s="40">
        <f t="shared" si="0"/>
        <v>0.33087847142529264</v>
      </c>
      <c r="F10" s="40">
        <f t="shared" si="0"/>
        <v>0.33001473877093446</v>
      </c>
      <c r="G10" s="40">
        <f t="shared" si="0"/>
        <v>0.32814635744382814</v>
      </c>
      <c r="H10" s="40">
        <f t="shared" si="0"/>
        <v>0.32977641992616219</v>
      </c>
      <c r="I10" s="40">
        <f t="shared" si="0"/>
        <v>0.33001391389979223</v>
      </c>
      <c r="J10" s="40">
        <f t="shared" si="0"/>
        <v>0.32965534578821243</v>
      </c>
      <c r="K10" s="40" t="e">
        <f t="shared" ref="K10:AB10" si="1">K7/K8</f>
        <v>#DIV/0!</v>
      </c>
      <c r="L10" s="40" t="e">
        <f t="shared" si="1"/>
        <v>#DIV/0!</v>
      </c>
      <c r="M10" s="40" t="e">
        <f t="shared" si="1"/>
        <v>#DIV/0!</v>
      </c>
      <c r="N10" s="40" t="e">
        <f t="shared" si="1"/>
        <v>#DIV/0!</v>
      </c>
      <c r="O10" s="40" t="e">
        <f t="shared" si="1"/>
        <v>#DIV/0!</v>
      </c>
      <c r="P10" s="40" t="e">
        <f t="shared" si="1"/>
        <v>#DIV/0!</v>
      </c>
      <c r="Q10" s="40" t="e">
        <f t="shared" si="1"/>
        <v>#DIV/0!</v>
      </c>
      <c r="R10" s="40" t="e">
        <f t="shared" si="1"/>
        <v>#DIV/0!</v>
      </c>
      <c r="S10" s="40" t="e">
        <f t="shared" si="1"/>
        <v>#DIV/0!</v>
      </c>
      <c r="T10" s="40" t="e">
        <f t="shared" si="1"/>
        <v>#DIV/0!</v>
      </c>
      <c r="U10" s="40" t="e">
        <f t="shared" si="1"/>
        <v>#DIV/0!</v>
      </c>
      <c r="V10" s="40" t="e">
        <f t="shared" si="1"/>
        <v>#DIV/0!</v>
      </c>
      <c r="W10" s="40" t="e">
        <f t="shared" si="1"/>
        <v>#DIV/0!</v>
      </c>
      <c r="X10" s="40" t="e">
        <f t="shared" si="1"/>
        <v>#DIV/0!</v>
      </c>
      <c r="Y10" s="40" t="e">
        <f t="shared" si="1"/>
        <v>#DIV/0!</v>
      </c>
      <c r="Z10" s="40" t="e">
        <f t="shared" si="1"/>
        <v>#DIV/0!</v>
      </c>
      <c r="AA10" s="40" t="e">
        <f t="shared" si="1"/>
        <v>#DIV/0!</v>
      </c>
      <c r="AB10" s="40" t="e">
        <f t="shared" si="1"/>
        <v>#DIV/0!</v>
      </c>
      <c r="AC10" s="40" t="e">
        <f t="shared" ref="AC10:AH10" si="2">AC7/AC8</f>
        <v>#DIV/0!</v>
      </c>
      <c r="AD10" s="40" t="e">
        <f t="shared" si="2"/>
        <v>#DIV/0!</v>
      </c>
      <c r="AE10" s="40" t="e">
        <f t="shared" si="2"/>
        <v>#DIV/0!</v>
      </c>
      <c r="AF10" s="40" t="e">
        <f t="shared" si="2"/>
        <v>#DIV/0!</v>
      </c>
      <c r="AG10" s="40" t="e">
        <f t="shared" si="2"/>
        <v>#DIV/0!</v>
      </c>
      <c r="AH10" s="40" t="e">
        <f t="shared" si="2"/>
        <v>#DIV/0!</v>
      </c>
    </row>
    <row r="11" spans="1:34" x14ac:dyDescent="0.3">
      <c r="A11" s="7" t="s">
        <v>66</v>
      </c>
      <c r="B11" s="40">
        <f>B7/B9</f>
        <v>1.1575165580912974E-2</v>
      </c>
      <c r="C11" s="40">
        <f t="shared" ref="C11:J11" si="3">C7/C9</f>
        <v>1.1570142635224146E-2</v>
      </c>
      <c r="D11" s="40">
        <f t="shared" si="3"/>
        <v>1.1591587331610028E-2</v>
      </c>
      <c r="E11" s="40">
        <f t="shared" si="3"/>
        <v>1.1665981360688927E-2</v>
      </c>
      <c r="F11" s="40">
        <f t="shared" si="3"/>
        <v>1.1728659976960315E-2</v>
      </c>
      <c r="G11" s="40">
        <f t="shared" si="3"/>
        <v>1.1736090776986499E-2</v>
      </c>
      <c r="H11" s="40">
        <f t="shared" si="3"/>
        <v>1.1916424477274562E-2</v>
      </c>
      <c r="I11" s="40">
        <f t="shared" si="3"/>
        <v>1.2019765518708854E-2</v>
      </c>
      <c r="J11" s="40">
        <f t="shared" si="3"/>
        <v>1.2115605863647539E-2</v>
      </c>
      <c r="K11" s="40" t="e">
        <f t="shared" ref="K11:AB11" si="4">K7/K9</f>
        <v>#DIV/0!</v>
      </c>
      <c r="L11" s="40" t="e">
        <f t="shared" si="4"/>
        <v>#DIV/0!</v>
      </c>
      <c r="M11" s="40" t="e">
        <f t="shared" si="4"/>
        <v>#DIV/0!</v>
      </c>
      <c r="N11" s="40" t="e">
        <f t="shared" si="4"/>
        <v>#DIV/0!</v>
      </c>
      <c r="O11" s="40" t="e">
        <f t="shared" si="4"/>
        <v>#DIV/0!</v>
      </c>
      <c r="P11" s="40" t="e">
        <f t="shared" si="4"/>
        <v>#DIV/0!</v>
      </c>
      <c r="Q11" s="40" t="e">
        <f t="shared" si="4"/>
        <v>#DIV/0!</v>
      </c>
      <c r="R11" s="40" t="e">
        <f t="shared" si="4"/>
        <v>#DIV/0!</v>
      </c>
      <c r="S11" s="40" t="e">
        <f t="shared" si="4"/>
        <v>#DIV/0!</v>
      </c>
      <c r="T11" s="40" t="e">
        <f t="shared" si="4"/>
        <v>#DIV/0!</v>
      </c>
      <c r="U11" s="40" t="e">
        <f t="shared" si="4"/>
        <v>#DIV/0!</v>
      </c>
      <c r="V11" s="40" t="e">
        <f t="shared" si="4"/>
        <v>#DIV/0!</v>
      </c>
      <c r="W11" s="40" t="e">
        <f t="shared" si="4"/>
        <v>#DIV/0!</v>
      </c>
      <c r="X11" s="40" t="e">
        <f t="shared" si="4"/>
        <v>#DIV/0!</v>
      </c>
      <c r="Y11" s="40" t="e">
        <f t="shared" si="4"/>
        <v>#DIV/0!</v>
      </c>
      <c r="Z11" s="40" t="e">
        <f t="shared" si="4"/>
        <v>#DIV/0!</v>
      </c>
      <c r="AA11" s="40" t="e">
        <f t="shared" si="4"/>
        <v>#DIV/0!</v>
      </c>
      <c r="AB11" s="40" t="e">
        <f t="shared" si="4"/>
        <v>#DIV/0!</v>
      </c>
      <c r="AC11" s="40" t="e">
        <f t="shared" ref="AC11:AH11" si="5">AC7/AC9</f>
        <v>#DIV/0!</v>
      </c>
      <c r="AD11" s="40" t="e">
        <f t="shared" si="5"/>
        <v>#DIV/0!</v>
      </c>
      <c r="AE11" s="40" t="e">
        <f t="shared" si="5"/>
        <v>#DIV/0!</v>
      </c>
      <c r="AF11" s="40" t="e">
        <f t="shared" si="5"/>
        <v>#DIV/0!</v>
      </c>
      <c r="AG11" s="40" t="e">
        <f t="shared" si="5"/>
        <v>#DIV/0!</v>
      </c>
      <c r="AH11" s="40" t="e">
        <f t="shared" si="5"/>
        <v>#DIV/0!</v>
      </c>
    </row>
    <row r="12" spans="1:34" x14ac:dyDescent="0.3">
      <c r="A12" s="141" t="s">
        <v>67</v>
      </c>
      <c r="B12" s="141" t="s">
        <v>68</v>
      </c>
      <c r="C12" s="141"/>
      <c r="D12" s="141"/>
      <c r="E12" s="141"/>
      <c r="F12" s="141"/>
      <c r="G12" s="141"/>
      <c r="H12" s="141"/>
      <c r="I12" s="141"/>
      <c r="J12" s="141"/>
      <c r="K12" s="141"/>
      <c r="L12" s="141"/>
      <c r="M12" s="141"/>
      <c r="N12" s="141"/>
      <c r="O12" s="141"/>
      <c r="P12" s="141"/>
      <c r="Q12" s="141"/>
      <c r="R12" s="141"/>
      <c r="S12" s="141"/>
      <c r="T12" s="141"/>
      <c r="U12" s="141"/>
      <c r="V12" s="141"/>
      <c r="W12" s="141"/>
      <c r="X12" s="141"/>
      <c r="Y12" s="141"/>
      <c r="Z12" s="141"/>
      <c r="AA12" s="141"/>
      <c r="AB12" s="141"/>
      <c r="AC12" s="141"/>
      <c r="AD12" s="141"/>
      <c r="AE12" s="141"/>
      <c r="AF12" s="141"/>
      <c r="AG12" s="141"/>
      <c r="AH12" s="141"/>
    </row>
    <row r="13" spans="1:34" x14ac:dyDescent="0.3">
      <c r="A13" s="140"/>
    </row>
    <row r="14" spans="1:34" ht="18" x14ac:dyDescent="0.35">
      <c r="A14" s="117" t="s">
        <v>1034</v>
      </c>
      <c r="B14" s="117" t="s">
        <v>3</v>
      </c>
      <c r="C14" s="117"/>
      <c r="D14" s="117"/>
      <c r="E14" s="117"/>
      <c r="F14" s="117"/>
      <c r="G14" s="117"/>
      <c r="H14" s="117"/>
      <c r="I14" s="117"/>
      <c r="J14" s="117"/>
      <c r="K14" s="117"/>
      <c r="L14" s="117"/>
      <c r="M14" s="117"/>
      <c r="N14" s="117"/>
      <c r="O14" s="117"/>
      <c r="P14" s="117"/>
      <c r="Q14" s="117"/>
      <c r="R14" s="117"/>
      <c r="S14" s="117"/>
      <c r="T14" s="117"/>
      <c r="U14" s="117"/>
      <c r="V14" s="117"/>
      <c r="W14" s="117"/>
      <c r="X14" s="117"/>
      <c r="Y14" s="117"/>
      <c r="Z14" s="117"/>
      <c r="AA14" s="117"/>
      <c r="AB14" s="117"/>
      <c r="AC14" s="117"/>
      <c r="AD14" s="117"/>
      <c r="AE14" s="117"/>
      <c r="AF14" s="117"/>
      <c r="AG14" s="117"/>
      <c r="AH14" s="117"/>
    </row>
    <row r="15" spans="1:34" x14ac:dyDescent="0.3">
      <c r="A15" s="124" t="s">
        <v>61</v>
      </c>
      <c r="B15" s="124">
        <v>2010</v>
      </c>
      <c r="C15" s="124">
        <v>2011</v>
      </c>
      <c r="D15" s="124">
        <v>2012</v>
      </c>
      <c r="E15" s="124">
        <v>2013</v>
      </c>
      <c r="F15" s="124">
        <v>2014</v>
      </c>
      <c r="G15" s="124">
        <v>2015</v>
      </c>
      <c r="H15" s="124">
        <v>2016</v>
      </c>
      <c r="I15" s="124">
        <v>2017</v>
      </c>
      <c r="J15" s="124">
        <v>2018</v>
      </c>
      <c r="K15" s="125"/>
      <c r="L15" s="125"/>
      <c r="M15" s="125"/>
      <c r="N15" s="125"/>
      <c r="O15" s="125"/>
      <c r="P15" s="125"/>
      <c r="Q15" s="125"/>
      <c r="R15" s="125"/>
      <c r="S15" s="125"/>
      <c r="T15" s="125"/>
      <c r="U15" s="125"/>
      <c r="V15" s="126"/>
      <c r="W15" s="126"/>
      <c r="X15" s="126"/>
      <c r="Y15" s="126"/>
      <c r="Z15" s="126"/>
      <c r="AA15" s="126"/>
      <c r="AB15" s="126"/>
      <c r="AC15" s="126"/>
      <c r="AD15" s="126"/>
      <c r="AE15" s="126"/>
      <c r="AF15" s="126"/>
      <c r="AG15" s="126"/>
      <c r="AH15" s="126"/>
    </row>
    <row r="16" spans="1:34" x14ac:dyDescent="0.3">
      <c r="A16" s="7" t="s">
        <v>62</v>
      </c>
      <c r="B16" s="69">
        <v>45166</v>
      </c>
      <c r="C16" s="69">
        <v>45457</v>
      </c>
      <c r="D16" s="69">
        <v>45704</v>
      </c>
      <c r="E16" s="69">
        <v>45996</v>
      </c>
      <c r="F16" s="69">
        <v>46497</v>
      </c>
      <c r="G16" s="69">
        <v>47179</v>
      </c>
      <c r="H16" s="69">
        <v>47248</v>
      </c>
      <c r="I16" s="69">
        <v>47524</v>
      </c>
      <c r="J16" s="69">
        <v>47791</v>
      </c>
      <c r="K16" s="122"/>
      <c r="L16" s="122"/>
      <c r="M16" s="122"/>
      <c r="N16" s="122"/>
      <c r="O16" s="122"/>
      <c r="P16" s="122"/>
      <c r="Q16" s="122"/>
      <c r="R16" s="122"/>
      <c r="S16" s="122"/>
      <c r="T16" s="122"/>
      <c r="U16" s="122"/>
      <c r="V16" s="123"/>
      <c r="W16" s="123"/>
      <c r="X16" s="123"/>
      <c r="Y16" s="123"/>
      <c r="Z16" s="123"/>
      <c r="AA16" s="123"/>
      <c r="AB16" s="123"/>
      <c r="AC16" s="123"/>
      <c r="AD16" s="123"/>
      <c r="AE16" s="123"/>
      <c r="AF16" s="123"/>
      <c r="AG16" s="123"/>
      <c r="AH16" s="123"/>
    </row>
    <row r="17" spans="1:34" x14ac:dyDescent="0.3">
      <c r="A17" s="7" t="s">
        <v>63</v>
      </c>
      <c r="B17" s="69">
        <v>134161</v>
      </c>
      <c r="C17" s="69">
        <v>134165</v>
      </c>
      <c r="D17" s="69">
        <v>134883</v>
      </c>
      <c r="E17" s="69">
        <v>135800</v>
      </c>
      <c r="F17" s="69">
        <v>136471</v>
      </c>
      <c r="G17" s="69">
        <v>138067</v>
      </c>
      <c r="H17" s="69">
        <v>138672</v>
      </c>
      <c r="I17" s="69">
        <v>138947</v>
      </c>
      <c r="J17" s="69">
        <v>140210</v>
      </c>
      <c r="K17" s="122"/>
      <c r="L17" s="122"/>
      <c r="M17" s="122"/>
      <c r="N17" s="122"/>
      <c r="O17" s="122"/>
      <c r="P17" s="122"/>
      <c r="Q17" s="122"/>
      <c r="R17" s="122"/>
      <c r="S17" s="122"/>
      <c r="T17" s="122"/>
      <c r="U17" s="122"/>
      <c r="V17" s="123"/>
      <c r="W17" s="123"/>
      <c r="X17" s="123"/>
      <c r="Y17" s="123"/>
      <c r="Z17" s="123"/>
      <c r="AA17" s="123"/>
      <c r="AB17" s="123"/>
      <c r="AC17" s="123"/>
      <c r="AD17" s="123"/>
      <c r="AE17" s="123"/>
      <c r="AF17" s="123"/>
      <c r="AG17" s="123"/>
      <c r="AH17" s="123"/>
    </row>
    <row r="18" spans="1:34" x14ac:dyDescent="0.3">
      <c r="A18" s="7" t="s">
        <v>64</v>
      </c>
      <c r="B18" s="69">
        <v>3843997</v>
      </c>
      <c r="C18" s="69">
        <v>3825182</v>
      </c>
      <c r="D18" s="69">
        <v>3818931</v>
      </c>
      <c r="E18" s="69">
        <v>3823280</v>
      </c>
      <c r="F18" s="69">
        <v>3827880</v>
      </c>
      <c r="G18" s="69">
        <v>3841148</v>
      </c>
      <c r="H18" s="69">
        <v>3860394</v>
      </c>
      <c r="I18" s="69">
        <v>3888646</v>
      </c>
      <c r="J18" s="69">
        <v>3909509</v>
      </c>
      <c r="K18" s="122"/>
      <c r="L18" s="122"/>
      <c r="M18" s="122"/>
      <c r="N18" s="122"/>
      <c r="O18" s="122"/>
      <c r="P18" s="122"/>
      <c r="Q18" s="122"/>
      <c r="R18" s="122"/>
      <c r="S18" s="122"/>
      <c r="T18" s="122"/>
      <c r="U18" s="122"/>
      <c r="V18" s="123"/>
      <c r="W18" s="123"/>
      <c r="X18" s="123"/>
      <c r="Y18" s="123"/>
      <c r="Z18" s="123"/>
      <c r="AA18" s="123"/>
      <c r="AB18" s="123"/>
      <c r="AC18" s="123"/>
      <c r="AD18" s="123"/>
      <c r="AE18" s="123"/>
      <c r="AF18" s="123"/>
      <c r="AG18" s="123"/>
      <c r="AH18" s="123"/>
    </row>
    <row r="19" spans="1:34" x14ac:dyDescent="0.3">
      <c r="A19" s="7" t="s">
        <v>65</v>
      </c>
      <c r="B19" s="40">
        <f>B16/B17</f>
        <v>0.33665521276675042</v>
      </c>
      <c r="C19" s="40">
        <f t="shared" ref="C19:J19" si="6">C16/C17</f>
        <v>0.3388141467595871</v>
      </c>
      <c r="D19" s="40">
        <f t="shared" si="6"/>
        <v>0.33884181105105904</v>
      </c>
      <c r="E19" s="40">
        <f t="shared" si="6"/>
        <v>0.33870397643593519</v>
      </c>
      <c r="F19" s="40">
        <f t="shared" si="6"/>
        <v>0.34070974785851937</v>
      </c>
      <c r="G19" s="40">
        <f t="shared" si="6"/>
        <v>0.34171090847197377</v>
      </c>
      <c r="H19" s="40">
        <f t="shared" si="6"/>
        <v>0.34071766470520365</v>
      </c>
      <c r="I19" s="40">
        <f t="shared" si="6"/>
        <v>0.34202969477570583</v>
      </c>
      <c r="J19" s="40">
        <f t="shared" si="6"/>
        <v>0.34085300620497827</v>
      </c>
      <c r="K19" s="40" t="e">
        <f t="shared" ref="K19:AB19" si="7">K16/K17</f>
        <v>#DIV/0!</v>
      </c>
      <c r="L19" s="40" t="e">
        <f t="shared" si="7"/>
        <v>#DIV/0!</v>
      </c>
      <c r="M19" s="40" t="e">
        <f t="shared" si="7"/>
        <v>#DIV/0!</v>
      </c>
      <c r="N19" s="40" t="e">
        <f t="shared" si="7"/>
        <v>#DIV/0!</v>
      </c>
      <c r="O19" s="40" t="e">
        <f t="shared" si="7"/>
        <v>#DIV/0!</v>
      </c>
      <c r="P19" s="40" t="e">
        <f t="shared" si="7"/>
        <v>#DIV/0!</v>
      </c>
      <c r="Q19" s="40" t="e">
        <f t="shared" si="7"/>
        <v>#DIV/0!</v>
      </c>
      <c r="R19" s="40" t="e">
        <f t="shared" si="7"/>
        <v>#DIV/0!</v>
      </c>
      <c r="S19" s="40" t="e">
        <f t="shared" si="7"/>
        <v>#DIV/0!</v>
      </c>
      <c r="T19" s="40" t="e">
        <f t="shared" si="7"/>
        <v>#DIV/0!</v>
      </c>
      <c r="U19" s="40" t="e">
        <f t="shared" si="7"/>
        <v>#DIV/0!</v>
      </c>
      <c r="V19" s="40" t="e">
        <f t="shared" si="7"/>
        <v>#DIV/0!</v>
      </c>
      <c r="W19" s="40" t="e">
        <f t="shared" si="7"/>
        <v>#DIV/0!</v>
      </c>
      <c r="X19" s="40" t="e">
        <f t="shared" si="7"/>
        <v>#DIV/0!</v>
      </c>
      <c r="Y19" s="40" t="e">
        <f t="shared" si="7"/>
        <v>#DIV/0!</v>
      </c>
      <c r="Z19" s="40" t="e">
        <f t="shared" si="7"/>
        <v>#DIV/0!</v>
      </c>
      <c r="AA19" s="40" t="e">
        <f t="shared" si="7"/>
        <v>#DIV/0!</v>
      </c>
      <c r="AB19" s="40" t="e">
        <f t="shared" si="7"/>
        <v>#DIV/0!</v>
      </c>
      <c r="AC19" s="40" t="e">
        <f t="shared" ref="AC19:AH19" si="8">AC16/AC17</f>
        <v>#DIV/0!</v>
      </c>
      <c r="AD19" s="40" t="e">
        <f t="shared" si="8"/>
        <v>#DIV/0!</v>
      </c>
      <c r="AE19" s="40" t="e">
        <f t="shared" si="8"/>
        <v>#DIV/0!</v>
      </c>
      <c r="AF19" s="40" t="e">
        <f t="shared" si="8"/>
        <v>#DIV/0!</v>
      </c>
      <c r="AG19" s="40" t="e">
        <f t="shared" si="8"/>
        <v>#DIV/0!</v>
      </c>
      <c r="AH19" s="40" t="e">
        <f t="shared" si="8"/>
        <v>#DIV/0!</v>
      </c>
    </row>
    <row r="20" spans="1:34" x14ac:dyDescent="0.3">
      <c r="A20" s="7" t="s">
        <v>66</v>
      </c>
      <c r="B20" s="40">
        <f>B16/B18</f>
        <v>1.1749749024257823E-2</v>
      </c>
      <c r="C20" s="40">
        <f t="shared" ref="C20:J20" si="9">C16/C18</f>
        <v>1.1883617563817879E-2</v>
      </c>
      <c r="D20" s="40">
        <f t="shared" si="9"/>
        <v>1.1967746995166973E-2</v>
      </c>
      <c r="E20" s="40">
        <f t="shared" si="9"/>
        <v>1.2030507836203469E-2</v>
      </c>
      <c r="F20" s="40">
        <f t="shared" si="9"/>
        <v>1.2146932505721183E-2</v>
      </c>
      <c r="G20" s="40">
        <f t="shared" si="9"/>
        <v>1.228252595317858E-2</v>
      </c>
      <c r="H20" s="40">
        <f t="shared" si="9"/>
        <v>1.2239165225103966E-2</v>
      </c>
      <c r="I20" s="40">
        <f t="shared" si="9"/>
        <v>1.2221220445368388E-2</v>
      </c>
      <c r="J20" s="40">
        <f t="shared" si="9"/>
        <v>1.2224297219932222E-2</v>
      </c>
      <c r="K20" s="40" t="e">
        <f t="shared" ref="K20:AB20" si="10">K16/K18</f>
        <v>#DIV/0!</v>
      </c>
      <c r="L20" s="40" t="e">
        <f t="shared" si="10"/>
        <v>#DIV/0!</v>
      </c>
      <c r="M20" s="40" t="e">
        <f t="shared" si="10"/>
        <v>#DIV/0!</v>
      </c>
      <c r="N20" s="40" t="e">
        <f t="shared" si="10"/>
        <v>#DIV/0!</v>
      </c>
      <c r="O20" s="40" t="e">
        <f t="shared" si="10"/>
        <v>#DIV/0!</v>
      </c>
      <c r="P20" s="40" t="e">
        <f t="shared" si="10"/>
        <v>#DIV/0!</v>
      </c>
      <c r="Q20" s="40" t="e">
        <f t="shared" si="10"/>
        <v>#DIV/0!</v>
      </c>
      <c r="R20" s="40" t="e">
        <f t="shared" si="10"/>
        <v>#DIV/0!</v>
      </c>
      <c r="S20" s="40" t="e">
        <f t="shared" si="10"/>
        <v>#DIV/0!</v>
      </c>
      <c r="T20" s="40" t="e">
        <f t="shared" si="10"/>
        <v>#DIV/0!</v>
      </c>
      <c r="U20" s="40" t="e">
        <f t="shared" si="10"/>
        <v>#DIV/0!</v>
      </c>
      <c r="V20" s="40" t="e">
        <f t="shared" si="10"/>
        <v>#DIV/0!</v>
      </c>
      <c r="W20" s="40" t="e">
        <f t="shared" si="10"/>
        <v>#DIV/0!</v>
      </c>
      <c r="X20" s="40" t="e">
        <f t="shared" si="10"/>
        <v>#DIV/0!</v>
      </c>
      <c r="Y20" s="40" t="e">
        <f t="shared" si="10"/>
        <v>#DIV/0!</v>
      </c>
      <c r="Z20" s="40" t="e">
        <f t="shared" si="10"/>
        <v>#DIV/0!</v>
      </c>
      <c r="AA20" s="40" t="e">
        <f t="shared" si="10"/>
        <v>#DIV/0!</v>
      </c>
      <c r="AB20" s="40" t="e">
        <f t="shared" si="10"/>
        <v>#DIV/0!</v>
      </c>
      <c r="AC20" s="40" t="e">
        <f t="shared" ref="AC20:AH20" si="11">AC16/AC18</f>
        <v>#DIV/0!</v>
      </c>
      <c r="AD20" s="40" t="e">
        <f t="shared" si="11"/>
        <v>#DIV/0!</v>
      </c>
      <c r="AE20" s="40" t="e">
        <f t="shared" si="11"/>
        <v>#DIV/0!</v>
      </c>
      <c r="AF20" s="40" t="e">
        <f t="shared" si="11"/>
        <v>#DIV/0!</v>
      </c>
      <c r="AG20" s="40" t="e">
        <f t="shared" si="11"/>
        <v>#DIV/0!</v>
      </c>
      <c r="AH20" s="40" t="e">
        <f t="shared" si="11"/>
        <v>#DIV/0!</v>
      </c>
    </row>
    <row r="21" spans="1:34" x14ac:dyDescent="0.3">
      <c r="A21" s="133" t="s">
        <v>67</v>
      </c>
      <c r="B21" s="133" t="s">
        <v>68</v>
      </c>
    </row>
    <row r="23" spans="1:34" ht="18" x14ac:dyDescent="0.35">
      <c r="A23" s="117" t="s">
        <v>1037</v>
      </c>
      <c r="B23" s="117" t="s">
        <v>843</v>
      </c>
      <c r="C23" s="117"/>
      <c r="D23" s="117"/>
      <c r="E23" s="117"/>
      <c r="F23" s="117"/>
      <c r="G23" s="117"/>
      <c r="H23" s="117"/>
      <c r="I23" s="117"/>
      <c r="J23" s="117"/>
      <c r="K23" s="117"/>
      <c r="L23" s="117"/>
      <c r="M23" s="117"/>
      <c r="N23" s="117"/>
      <c r="O23" s="117"/>
      <c r="P23" s="117"/>
      <c r="Q23" s="117"/>
      <c r="R23" s="117"/>
      <c r="S23" s="117"/>
      <c r="T23" s="117"/>
      <c r="U23" s="117"/>
      <c r="V23" s="117"/>
      <c r="W23" s="117"/>
      <c r="X23" s="117"/>
      <c r="Y23" s="117"/>
      <c r="Z23" s="117"/>
      <c r="AA23" s="117"/>
      <c r="AB23" s="117"/>
      <c r="AC23" s="117"/>
      <c r="AD23" s="117"/>
      <c r="AE23" s="117"/>
      <c r="AF23" s="117"/>
      <c r="AG23" s="117"/>
      <c r="AH23" s="117"/>
    </row>
    <row r="24" spans="1:34" x14ac:dyDescent="0.3">
      <c r="A24" s="104" t="s">
        <v>61</v>
      </c>
      <c r="B24" s="128">
        <v>36892</v>
      </c>
      <c r="C24" s="128">
        <v>37257</v>
      </c>
      <c r="D24" s="128">
        <v>37622</v>
      </c>
      <c r="E24" s="128">
        <v>37987</v>
      </c>
      <c r="F24" s="128">
        <v>38353</v>
      </c>
      <c r="G24" s="128">
        <v>38718</v>
      </c>
      <c r="H24" s="128">
        <v>39083</v>
      </c>
      <c r="I24" s="128">
        <v>39448</v>
      </c>
      <c r="J24" s="128">
        <v>39814</v>
      </c>
      <c r="K24" s="128">
        <v>40179</v>
      </c>
      <c r="L24" s="128">
        <v>40544</v>
      </c>
      <c r="M24" s="128">
        <v>40909</v>
      </c>
      <c r="N24" s="128">
        <v>41275</v>
      </c>
      <c r="O24" s="128">
        <v>41640</v>
      </c>
      <c r="P24" s="128">
        <v>42005</v>
      </c>
      <c r="Q24" s="128">
        <v>42370</v>
      </c>
      <c r="R24" s="128">
        <v>42736</v>
      </c>
      <c r="S24" s="128">
        <v>43101</v>
      </c>
      <c r="T24" s="129"/>
      <c r="U24" s="129"/>
      <c r="V24" s="129"/>
      <c r="W24" s="129"/>
      <c r="X24" s="129"/>
      <c r="Y24" s="129"/>
      <c r="Z24" s="129"/>
      <c r="AA24" s="129"/>
      <c r="AB24" s="129"/>
      <c r="AC24" s="129"/>
      <c r="AD24" s="129"/>
      <c r="AE24" s="129"/>
      <c r="AF24" s="129"/>
      <c r="AG24" s="129"/>
      <c r="AH24" s="129"/>
    </row>
    <row r="25" spans="1:34" x14ac:dyDescent="0.3">
      <c r="A25" s="104" t="s">
        <v>844</v>
      </c>
      <c r="B25" s="104">
        <v>19122.553</v>
      </c>
      <c r="C25" s="104">
        <v>20141.168000000001</v>
      </c>
      <c r="D25" s="104">
        <v>20304.773000000001</v>
      </c>
      <c r="E25" s="104">
        <v>20049.276000000002</v>
      </c>
      <c r="F25" s="104">
        <v>20471.233</v>
      </c>
      <c r="G25" s="104">
        <v>19952.538</v>
      </c>
      <c r="H25" s="104">
        <v>20208.8</v>
      </c>
      <c r="I25" s="104">
        <v>19240.708999999999</v>
      </c>
      <c r="J25" s="104">
        <v>17869.911</v>
      </c>
      <c r="K25" s="104">
        <v>18495.449000000001</v>
      </c>
      <c r="L25" s="104">
        <v>18752.145</v>
      </c>
      <c r="M25" s="104">
        <v>19228.03</v>
      </c>
      <c r="N25" s="104">
        <v>19285.47</v>
      </c>
      <c r="O25" s="104">
        <v>19446.252</v>
      </c>
      <c r="P25" s="104">
        <v>20096.508999999998</v>
      </c>
      <c r="Q25" s="104">
        <v>20688.097000000002</v>
      </c>
      <c r="R25" s="104">
        <v>21313.699000000001</v>
      </c>
      <c r="S25" s="104">
        <v>21963.864000000001</v>
      </c>
      <c r="T25" s="129"/>
      <c r="U25" s="129"/>
      <c r="V25" s="129"/>
      <c r="W25" s="129"/>
      <c r="X25" s="129"/>
      <c r="Y25" s="129"/>
      <c r="Z25" s="129"/>
      <c r="AA25" s="129"/>
      <c r="AB25" s="129"/>
      <c r="AC25" s="129"/>
      <c r="AD25" s="129"/>
      <c r="AE25" s="129"/>
      <c r="AF25" s="129"/>
      <c r="AG25" s="129"/>
      <c r="AH25" s="129"/>
    </row>
    <row r="26" spans="1:34" x14ac:dyDescent="0.3">
      <c r="A26" s="104" t="s">
        <v>726</v>
      </c>
      <c r="B26" s="2" t="s">
        <v>1049</v>
      </c>
      <c r="C26" s="104" t="s">
        <v>1050</v>
      </c>
      <c r="D26" s="104"/>
      <c r="E26" s="104"/>
      <c r="F26" s="104"/>
      <c r="G26" s="104"/>
      <c r="H26" s="104"/>
      <c r="I26" s="104"/>
      <c r="J26" s="104"/>
      <c r="K26" s="104"/>
      <c r="L26" s="104"/>
      <c r="M26" s="104"/>
      <c r="N26" s="104"/>
      <c r="O26" s="104"/>
      <c r="P26" s="104"/>
      <c r="Q26" s="104"/>
      <c r="R26" s="104"/>
      <c r="S26" s="104"/>
      <c r="T26" s="104"/>
      <c r="U26" s="104"/>
      <c r="V26" s="104"/>
      <c r="W26" s="104"/>
      <c r="X26" s="104"/>
      <c r="Y26" s="104"/>
      <c r="Z26" s="104"/>
      <c r="AA26" s="104"/>
      <c r="AB26" s="104"/>
      <c r="AC26" s="104"/>
      <c r="AD26" s="104"/>
      <c r="AE26" s="104"/>
      <c r="AF26" s="104"/>
      <c r="AG26" s="104"/>
      <c r="AH26" s="104"/>
    </row>
    <row r="27" spans="1:34" x14ac:dyDescent="0.3">
      <c r="A27" s="1" t="s">
        <v>61</v>
      </c>
      <c r="B27" s="1">
        <f>YEAR(B24)</f>
        <v>2001</v>
      </c>
      <c r="C27" s="1">
        <f t="shared" ref="C27:S27" si="12">YEAR(C24)</f>
        <v>2002</v>
      </c>
      <c r="D27" s="1">
        <f t="shared" si="12"/>
        <v>2003</v>
      </c>
      <c r="E27" s="1">
        <f t="shared" si="12"/>
        <v>2004</v>
      </c>
      <c r="F27" s="1">
        <f t="shared" si="12"/>
        <v>2005</v>
      </c>
      <c r="G27" s="1">
        <f t="shared" si="12"/>
        <v>2006</v>
      </c>
      <c r="H27" s="1">
        <f t="shared" si="12"/>
        <v>2007</v>
      </c>
      <c r="I27" s="1">
        <f t="shared" si="12"/>
        <v>2008</v>
      </c>
      <c r="J27" s="1">
        <f t="shared" si="12"/>
        <v>2009</v>
      </c>
      <c r="K27" s="1">
        <f t="shared" si="12"/>
        <v>2010</v>
      </c>
      <c r="L27" s="1">
        <f t="shared" si="12"/>
        <v>2011</v>
      </c>
      <c r="M27" s="1">
        <f t="shared" si="12"/>
        <v>2012</v>
      </c>
      <c r="N27" s="1">
        <f t="shared" si="12"/>
        <v>2013</v>
      </c>
      <c r="O27" s="1">
        <f t="shared" si="12"/>
        <v>2014</v>
      </c>
      <c r="P27" s="1">
        <f t="shared" si="12"/>
        <v>2015</v>
      </c>
      <c r="Q27" s="1">
        <f t="shared" si="12"/>
        <v>2016</v>
      </c>
      <c r="R27" s="1">
        <f t="shared" si="12"/>
        <v>2017</v>
      </c>
      <c r="S27" s="1">
        <f t="shared" si="12"/>
        <v>2018</v>
      </c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</row>
    <row r="28" spans="1:34" x14ac:dyDescent="0.3">
      <c r="A28" s="104" t="s">
        <v>1051</v>
      </c>
      <c r="B28" s="92">
        <f>B25*10^6</f>
        <v>19122553000</v>
      </c>
      <c r="C28" s="92">
        <f t="shared" ref="C28:S28" si="13">C25*10^6</f>
        <v>20141168000</v>
      </c>
      <c r="D28" s="92">
        <f t="shared" si="13"/>
        <v>20304773000</v>
      </c>
      <c r="E28" s="92">
        <f t="shared" si="13"/>
        <v>20049276000</v>
      </c>
      <c r="F28" s="92">
        <f t="shared" si="13"/>
        <v>20471233000</v>
      </c>
      <c r="G28" s="92">
        <f t="shared" si="13"/>
        <v>19952538000</v>
      </c>
      <c r="H28" s="92">
        <f t="shared" si="13"/>
        <v>20208800000</v>
      </c>
      <c r="I28" s="92">
        <f t="shared" si="13"/>
        <v>19240709000</v>
      </c>
      <c r="J28" s="92">
        <f t="shared" si="13"/>
        <v>17869911000</v>
      </c>
      <c r="K28" s="92">
        <f t="shared" si="13"/>
        <v>18495449000</v>
      </c>
      <c r="L28" s="92">
        <f t="shared" si="13"/>
        <v>18752145000</v>
      </c>
      <c r="M28" s="92">
        <f t="shared" si="13"/>
        <v>19228030000</v>
      </c>
      <c r="N28" s="92">
        <f t="shared" si="13"/>
        <v>19285470000</v>
      </c>
      <c r="O28" s="92">
        <f t="shared" si="13"/>
        <v>19446252000</v>
      </c>
      <c r="P28" s="92">
        <f t="shared" si="13"/>
        <v>20096509000</v>
      </c>
      <c r="Q28" s="92">
        <f t="shared" si="13"/>
        <v>20688097000</v>
      </c>
      <c r="R28" s="92">
        <f t="shared" si="13"/>
        <v>21313699000</v>
      </c>
      <c r="S28" s="92">
        <f t="shared" si="13"/>
        <v>21963864000</v>
      </c>
      <c r="T28" s="92"/>
      <c r="U28" s="92"/>
      <c r="V28" s="92"/>
      <c r="W28" s="92"/>
      <c r="X28" s="92"/>
      <c r="Y28" s="92"/>
      <c r="Z28" s="92"/>
      <c r="AA28" s="92"/>
      <c r="AB28" s="92"/>
      <c r="AC28" s="92"/>
      <c r="AD28" s="92"/>
      <c r="AE28" s="92"/>
      <c r="AF28" s="92"/>
      <c r="AG28" s="92"/>
      <c r="AH28" s="92"/>
    </row>
    <row r="29" spans="1:34" x14ac:dyDescent="0.3">
      <c r="B29" s="142"/>
      <c r="C29" s="142"/>
      <c r="D29" s="142"/>
      <c r="E29" s="142"/>
      <c r="F29" s="142"/>
      <c r="G29" s="142"/>
      <c r="H29" s="142"/>
      <c r="I29" s="142"/>
      <c r="J29" s="142"/>
      <c r="K29" s="142"/>
      <c r="L29" s="142"/>
      <c r="M29" s="142"/>
      <c r="N29" s="142"/>
      <c r="O29" s="142"/>
      <c r="P29" s="142"/>
      <c r="Q29" s="142"/>
    </row>
    <row r="30" spans="1:34" ht="18" x14ac:dyDescent="0.35">
      <c r="A30" s="117" t="s">
        <v>1041</v>
      </c>
      <c r="B30" s="117" t="s">
        <v>945</v>
      </c>
      <c r="C30" s="117"/>
      <c r="D30" s="117"/>
      <c r="E30" s="117"/>
      <c r="F30" s="117"/>
      <c r="G30" s="117"/>
      <c r="H30" s="117"/>
      <c r="I30" s="117"/>
      <c r="J30" s="117"/>
      <c r="K30" s="117"/>
      <c r="L30" s="117"/>
      <c r="M30" s="117"/>
      <c r="N30" s="117"/>
      <c r="O30" s="117"/>
      <c r="P30" s="117"/>
      <c r="Q30" s="117"/>
      <c r="R30" s="117"/>
      <c r="S30" s="117"/>
      <c r="T30" s="117"/>
      <c r="U30" s="117"/>
      <c r="V30" s="117"/>
      <c r="W30" s="117"/>
      <c r="X30" s="117"/>
      <c r="Y30" s="117"/>
      <c r="Z30" s="117"/>
      <c r="AA30" s="117"/>
      <c r="AB30" s="117"/>
      <c r="AC30" s="117"/>
      <c r="AD30" s="117"/>
      <c r="AE30" s="117"/>
      <c r="AF30" s="117"/>
      <c r="AG30" s="117"/>
      <c r="AH30" s="117"/>
    </row>
    <row r="31" spans="1:34" x14ac:dyDescent="0.3">
      <c r="A31" t="s">
        <v>2</v>
      </c>
      <c r="B31" t="s">
        <v>925</v>
      </c>
      <c r="C31" t="s">
        <v>926</v>
      </c>
      <c r="D31" t="s">
        <v>927</v>
      </c>
      <c r="E31" t="s">
        <v>928</v>
      </c>
      <c r="F31" t="s">
        <v>929</v>
      </c>
      <c r="G31" t="s">
        <v>930</v>
      </c>
      <c r="H31" t="s">
        <v>931</v>
      </c>
      <c r="I31" t="s">
        <v>932</v>
      </c>
      <c r="J31" t="s">
        <v>933</v>
      </c>
      <c r="K31" t="s">
        <v>934</v>
      </c>
      <c r="L31" t="s">
        <v>935</v>
      </c>
      <c r="M31" t="s">
        <v>936</v>
      </c>
      <c r="N31" t="s">
        <v>937</v>
      </c>
      <c r="O31" t="s">
        <v>938</v>
      </c>
      <c r="P31" t="s">
        <v>939</v>
      </c>
      <c r="Q31" t="s">
        <v>940</v>
      </c>
      <c r="R31" s="129"/>
      <c r="S31" s="129"/>
      <c r="T31" s="129"/>
      <c r="U31" s="129"/>
      <c r="V31" s="129"/>
      <c r="W31" s="129"/>
      <c r="X31" s="129"/>
      <c r="Y31" s="129"/>
      <c r="Z31" s="129"/>
      <c r="AA31" s="129"/>
      <c r="AB31" s="129"/>
      <c r="AC31" s="129"/>
      <c r="AD31" s="129"/>
      <c r="AE31" s="129"/>
      <c r="AF31" s="129"/>
      <c r="AG31" s="129"/>
      <c r="AH31" s="129"/>
    </row>
    <row r="32" spans="1:34" x14ac:dyDescent="0.3">
      <c r="A32" t="s">
        <v>941</v>
      </c>
      <c r="B32" s="30">
        <v>39031</v>
      </c>
      <c r="C32" s="30">
        <v>39533</v>
      </c>
      <c r="D32" s="30">
        <v>39993</v>
      </c>
      <c r="E32" s="30">
        <v>40025</v>
      </c>
      <c r="F32" s="30">
        <v>41042</v>
      </c>
      <c r="G32" s="30">
        <v>41028</v>
      </c>
      <c r="H32" s="30">
        <v>41674</v>
      </c>
      <c r="I32" s="30">
        <v>41924</v>
      </c>
      <c r="J32" s="30">
        <v>42716</v>
      </c>
      <c r="K32" s="30">
        <v>43426</v>
      </c>
      <c r="L32" s="30">
        <v>43710</v>
      </c>
      <c r="M32" s="30">
        <v>43625</v>
      </c>
      <c r="N32" s="30">
        <v>43651</v>
      </c>
      <c r="O32" s="30">
        <v>44718</v>
      </c>
      <c r="P32" s="30">
        <v>46002</v>
      </c>
      <c r="Q32" s="30">
        <v>46716</v>
      </c>
      <c r="R32" s="129"/>
      <c r="S32" s="129"/>
      <c r="T32" s="129"/>
      <c r="U32" s="129"/>
      <c r="V32" s="129"/>
      <c r="W32" s="129"/>
      <c r="X32" s="129"/>
      <c r="Y32" s="129"/>
      <c r="Z32" s="129"/>
      <c r="AA32" s="129"/>
      <c r="AB32" s="129"/>
      <c r="AC32" s="129"/>
      <c r="AD32" s="129"/>
      <c r="AE32" s="129"/>
      <c r="AF32" s="129"/>
      <c r="AG32" s="129"/>
      <c r="AH32" s="129"/>
    </row>
    <row r="33" spans="1:34" x14ac:dyDescent="0.3">
      <c r="A33" t="s">
        <v>942</v>
      </c>
      <c r="B33" s="30">
        <v>22450</v>
      </c>
      <c r="C33" s="30">
        <v>22576</v>
      </c>
      <c r="D33" s="30">
        <v>22739</v>
      </c>
      <c r="E33" s="30">
        <v>23016</v>
      </c>
      <c r="F33" s="30">
        <v>23316</v>
      </c>
      <c r="G33" s="30">
        <v>23909</v>
      </c>
      <c r="H33" s="30">
        <v>24639</v>
      </c>
      <c r="I33" s="30">
        <v>24900</v>
      </c>
      <c r="J33" s="30">
        <v>24845</v>
      </c>
      <c r="K33" s="30">
        <v>25139</v>
      </c>
      <c r="L33" s="30">
        <v>25448</v>
      </c>
      <c r="M33" s="30">
        <v>25757</v>
      </c>
      <c r="N33" s="30">
        <v>26255</v>
      </c>
      <c r="O33" s="30">
        <v>27066</v>
      </c>
      <c r="P33" s="30">
        <v>27595</v>
      </c>
      <c r="Q33" s="30">
        <v>28498</v>
      </c>
      <c r="R33" s="129"/>
      <c r="S33" s="129"/>
      <c r="T33" s="129"/>
      <c r="U33" s="129"/>
      <c r="V33" s="129"/>
      <c r="W33" s="129"/>
      <c r="X33" s="129"/>
      <c r="Y33" s="129"/>
      <c r="Z33" s="129"/>
      <c r="AA33" s="129"/>
      <c r="AB33" s="129"/>
      <c r="AC33" s="129"/>
      <c r="AD33" s="129"/>
      <c r="AE33" s="129"/>
      <c r="AF33" s="129"/>
      <c r="AG33" s="129"/>
      <c r="AH33" s="129"/>
    </row>
    <row r="34" spans="1:34" x14ac:dyDescent="0.3">
      <c r="A34" t="s">
        <v>943</v>
      </c>
      <c r="B34" s="30">
        <v>11226</v>
      </c>
      <c r="C34" s="30">
        <v>11738</v>
      </c>
      <c r="D34" s="30">
        <v>12398</v>
      </c>
      <c r="E34" s="30">
        <v>13110</v>
      </c>
      <c r="F34" s="30">
        <v>13728</v>
      </c>
      <c r="G34" s="30">
        <v>14237</v>
      </c>
      <c r="H34" s="30">
        <v>14214</v>
      </c>
      <c r="I34" s="30">
        <v>14704</v>
      </c>
      <c r="J34" s="30">
        <v>15514</v>
      </c>
      <c r="K34" s="30">
        <v>16721</v>
      </c>
      <c r="L34" s="30">
        <v>16829</v>
      </c>
      <c r="M34" s="30">
        <v>17546</v>
      </c>
      <c r="N34" s="30">
        <v>18045</v>
      </c>
      <c r="O34" s="30">
        <v>18821</v>
      </c>
      <c r="P34" s="30">
        <v>20091</v>
      </c>
      <c r="Q34" s="30">
        <v>20621</v>
      </c>
      <c r="R34" s="129"/>
      <c r="S34" s="129"/>
      <c r="T34" s="129"/>
      <c r="U34" s="129"/>
      <c r="V34" s="129"/>
      <c r="W34" s="129"/>
      <c r="X34" s="129"/>
      <c r="Y34" s="129"/>
      <c r="Z34" s="129"/>
      <c r="AA34" s="129"/>
      <c r="AB34" s="129"/>
      <c r="AC34" s="129"/>
      <c r="AD34" s="129"/>
      <c r="AE34" s="129"/>
      <c r="AF34" s="129"/>
      <c r="AG34" s="129"/>
      <c r="AH34" s="129"/>
    </row>
    <row r="35" spans="1:34" x14ac:dyDescent="0.3">
      <c r="A35" t="s">
        <v>944</v>
      </c>
      <c r="B35" s="30">
        <v>72707</v>
      </c>
      <c r="C35" s="30">
        <v>73847</v>
      </c>
      <c r="D35" s="30">
        <v>75130</v>
      </c>
      <c r="E35" s="30">
        <v>76151</v>
      </c>
      <c r="F35" s="30">
        <v>78086</v>
      </c>
      <c r="G35" s="30">
        <v>79174</v>
      </c>
      <c r="H35" s="30">
        <v>80527</v>
      </c>
      <c r="I35" s="30">
        <v>81528</v>
      </c>
      <c r="J35" s="30">
        <v>83075</v>
      </c>
      <c r="K35" s="30">
        <v>85286</v>
      </c>
      <c r="L35" s="30">
        <v>85987</v>
      </c>
      <c r="M35" s="30">
        <v>86928</v>
      </c>
      <c r="N35" s="30">
        <v>87951</v>
      </c>
      <c r="O35" s="30">
        <v>90605</v>
      </c>
      <c r="P35" s="30">
        <v>93688</v>
      </c>
      <c r="Q35" s="30">
        <v>95835</v>
      </c>
      <c r="R35" s="129"/>
      <c r="S35" s="129"/>
      <c r="T35" s="129"/>
      <c r="U35" s="129"/>
      <c r="V35" s="129"/>
      <c r="W35" s="129"/>
      <c r="X35" s="129"/>
      <c r="Y35" s="129"/>
      <c r="Z35" s="129"/>
      <c r="AA35" s="129"/>
      <c r="AB35" s="129"/>
      <c r="AC35" s="129"/>
      <c r="AD35" s="129"/>
      <c r="AE35" s="129"/>
      <c r="AF35" s="129"/>
      <c r="AG35" s="129"/>
      <c r="AH35" s="129"/>
    </row>
    <row r="36" spans="1:34" x14ac:dyDescent="0.3">
      <c r="A36" s="1" t="s">
        <v>61</v>
      </c>
      <c r="B36" s="1">
        <f>VALUE(RIGHT(B31,4))</f>
        <v>2004</v>
      </c>
      <c r="C36" s="1">
        <f t="shared" ref="C36:AH36" si="14">VALUE(RIGHT(C31,4))</f>
        <v>2005</v>
      </c>
      <c r="D36" s="1">
        <f t="shared" si="14"/>
        <v>2006</v>
      </c>
      <c r="E36" s="1">
        <f t="shared" si="14"/>
        <v>2007</v>
      </c>
      <c r="F36" s="1">
        <f t="shared" si="14"/>
        <v>2008</v>
      </c>
      <c r="G36" s="1">
        <f t="shared" si="14"/>
        <v>2009</v>
      </c>
      <c r="H36" s="1">
        <f t="shared" si="14"/>
        <v>2010</v>
      </c>
      <c r="I36" s="1">
        <f t="shared" si="14"/>
        <v>2011</v>
      </c>
      <c r="J36" s="1">
        <f t="shared" si="14"/>
        <v>2012</v>
      </c>
      <c r="K36" s="1">
        <f t="shared" si="14"/>
        <v>2013</v>
      </c>
      <c r="L36" s="1">
        <f t="shared" si="14"/>
        <v>2014</v>
      </c>
      <c r="M36" s="1">
        <f t="shared" si="14"/>
        <v>2015</v>
      </c>
      <c r="N36" s="1">
        <f t="shared" si="14"/>
        <v>2016</v>
      </c>
      <c r="O36" s="1">
        <f t="shared" si="14"/>
        <v>2017</v>
      </c>
      <c r="P36" s="1">
        <f t="shared" si="14"/>
        <v>2018</v>
      </c>
      <c r="Q36" s="1">
        <f t="shared" si="14"/>
        <v>2019</v>
      </c>
      <c r="R36" s="1" t="e">
        <f>VALUE(RIGHT(R31,4))</f>
        <v>#VALUE!</v>
      </c>
      <c r="S36" s="1" t="e">
        <f t="shared" si="14"/>
        <v>#VALUE!</v>
      </c>
      <c r="T36" s="1" t="e">
        <f t="shared" si="14"/>
        <v>#VALUE!</v>
      </c>
      <c r="U36" s="1" t="e">
        <f t="shared" si="14"/>
        <v>#VALUE!</v>
      </c>
      <c r="V36" s="1" t="e">
        <f t="shared" si="14"/>
        <v>#VALUE!</v>
      </c>
      <c r="W36" s="1" t="e">
        <f t="shared" si="14"/>
        <v>#VALUE!</v>
      </c>
      <c r="X36" s="1" t="e">
        <f t="shared" si="14"/>
        <v>#VALUE!</v>
      </c>
      <c r="Y36" s="1" t="e">
        <f t="shared" si="14"/>
        <v>#VALUE!</v>
      </c>
      <c r="Z36" s="1" t="e">
        <f t="shared" si="14"/>
        <v>#VALUE!</v>
      </c>
      <c r="AA36" s="1" t="e">
        <f t="shared" si="14"/>
        <v>#VALUE!</v>
      </c>
      <c r="AB36" s="1" t="e">
        <f t="shared" si="14"/>
        <v>#VALUE!</v>
      </c>
      <c r="AC36" s="1" t="e">
        <f t="shared" si="14"/>
        <v>#VALUE!</v>
      </c>
      <c r="AD36" s="1" t="e">
        <f t="shared" si="14"/>
        <v>#VALUE!</v>
      </c>
      <c r="AE36" s="1" t="e">
        <f t="shared" si="14"/>
        <v>#VALUE!</v>
      </c>
      <c r="AF36" s="1" t="e">
        <f t="shared" si="14"/>
        <v>#VALUE!</v>
      </c>
      <c r="AG36" s="1" t="e">
        <f t="shared" si="14"/>
        <v>#VALUE!</v>
      </c>
      <c r="AH36" s="1" t="e">
        <f t="shared" si="14"/>
        <v>#VALUE!</v>
      </c>
    </row>
    <row r="37" spans="1:34" x14ac:dyDescent="0.3">
      <c r="A37" t="s">
        <v>944</v>
      </c>
      <c r="B37" s="28">
        <f>B35</f>
        <v>72707</v>
      </c>
      <c r="C37" s="28">
        <f t="shared" ref="C37:AH37" si="15">C35</f>
        <v>73847</v>
      </c>
      <c r="D37" s="28">
        <f t="shared" si="15"/>
        <v>75130</v>
      </c>
      <c r="E37" s="28">
        <f t="shared" si="15"/>
        <v>76151</v>
      </c>
      <c r="F37" s="28">
        <f t="shared" si="15"/>
        <v>78086</v>
      </c>
      <c r="G37" s="28">
        <f t="shared" si="15"/>
        <v>79174</v>
      </c>
      <c r="H37" s="28">
        <f t="shared" si="15"/>
        <v>80527</v>
      </c>
      <c r="I37" s="28">
        <f t="shared" si="15"/>
        <v>81528</v>
      </c>
      <c r="J37" s="28">
        <f t="shared" si="15"/>
        <v>83075</v>
      </c>
      <c r="K37" s="28">
        <f t="shared" si="15"/>
        <v>85286</v>
      </c>
      <c r="L37" s="28">
        <f t="shared" si="15"/>
        <v>85987</v>
      </c>
      <c r="M37" s="28">
        <f t="shared" si="15"/>
        <v>86928</v>
      </c>
      <c r="N37" s="28">
        <f t="shared" si="15"/>
        <v>87951</v>
      </c>
      <c r="O37" s="28">
        <f t="shared" si="15"/>
        <v>90605</v>
      </c>
      <c r="P37" s="28">
        <f t="shared" si="15"/>
        <v>93688</v>
      </c>
      <c r="Q37" s="28">
        <f t="shared" si="15"/>
        <v>95835</v>
      </c>
      <c r="R37" s="28">
        <f t="shared" si="15"/>
        <v>0</v>
      </c>
      <c r="S37" s="28">
        <f t="shared" si="15"/>
        <v>0</v>
      </c>
      <c r="T37" s="28">
        <f t="shared" si="15"/>
        <v>0</v>
      </c>
      <c r="U37" s="28">
        <f t="shared" si="15"/>
        <v>0</v>
      </c>
      <c r="V37" s="28">
        <f t="shared" si="15"/>
        <v>0</v>
      </c>
      <c r="W37" s="28">
        <f t="shared" si="15"/>
        <v>0</v>
      </c>
      <c r="X37" s="28">
        <f t="shared" si="15"/>
        <v>0</v>
      </c>
      <c r="Y37" s="28">
        <f t="shared" si="15"/>
        <v>0</v>
      </c>
      <c r="Z37" s="28">
        <f t="shared" si="15"/>
        <v>0</v>
      </c>
      <c r="AA37" s="28">
        <f t="shared" si="15"/>
        <v>0</v>
      </c>
      <c r="AB37" s="28">
        <f t="shared" si="15"/>
        <v>0</v>
      </c>
      <c r="AC37" s="28">
        <f t="shared" si="15"/>
        <v>0</v>
      </c>
      <c r="AD37" s="28">
        <f t="shared" si="15"/>
        <v>0</v>
      </c>
      <c r="AE37" s="28">
        <f t="shared" si="15"/>
        <v>0</v>
      </c>
      <c r="AF37" s="28">
        <f t="shared" si="15"/>
        <v>0</v>
      </c>
      <c r="AG37" s="28">
        <f t="shared" si="15"/>
        <v>0</v>
      </c>
      <c r="AH37" s="28">
        <f t="shared" si="15"/>
        <v>0</v>
      </c>
    </row>
  </sheetData>
  <hyperlinks>
    <hyperlink ref="B26" r:id="rId1" xr:uid="{C639B860-1964-44E4-BE0A-BAACCECECF5C}"/>
  </hyperlinks>
  <pageMargins left="0.7" right="0.7" top="0.75" bottom="0.75" header="0.3" footer="0.3"/>
  <pageSetup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20185E-45EA-48AA-A874-8AB3BC984822}">
  <sheetPr codeName="Sheet4">
    <tabColor theme="4" tint="0.39997558519241921"/>
  </sheetPr>
  <dimension ref="A1:AC93"/>
  <sheetViews>
    <sheetView workbookViewId="0">
      <selection activeCell="M3" sqref="M3"/>
    </sheetView>
  </sheetViews>
  <sheetFormatPr defaultRowHeight="14.4" x14ac:dyDescent="0.3"/>
  <cols>
    <col min="1" max="1" width="11.33203125" style="133" customWidth="1"/>
    <col min="2" max="16384" width="8.88671875" style="133"/>
  </cols>
  <sheetData>
    <row r="1" spans="1:29" s="137" customFormat="1" ht="25.8" x14ac:dyDescent="0.5">
      <c r="A1" s="118" t="s">
        <v>69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118"/>
      <c r="S1" s="118"/>
      <c r="T1" s="118"/>
      <c r="U1" s="118"/>
      <c r="V1" s="118"/>
      <c r="W1" s="118"/>
      <c r="X1" s="118"/>
      <c r="Y1" s="118"/>
      <c r="Z1" s="118"/>
      <c r="AA1" s="118"/>
      <c r="AB1" s="118"/>
      <c r="AC1" s="118"/>
    </row>
    <row r="5" spans="1:29" s="138" customFormat="1" ht="18" x14ac:dyDescent="0.35">
      <c r="A5" s="117" t="s">
        <v>1052</v>
      </c>
      <c r="B5" s="117"/>
      <c r="C5" s="117"/>
      <c r="D5" s="117"/>
      <c r="E5" s="117"/>
      <c r="F5" s="117"/>
      <c r="G5" s="117"/>
      <c r="H5" s="117"/>
      <c r="I5" s="117"/>
      <c r="J5" s="117"/>
      <c r="K5" s="117"/>
      <c r="L5" s="117"/>
      <c r="M5" s="117"/>
      <c r="N5" s="117"/>
      <c r="O5" s="117"/>
      <c r="P5" s="117"/>
      <c r="Q5" s="117"/>
      <c r="R5" s="117"/>
      <c r="S5" s="117"/>
      <c r="T5" s="117"/>
      <c r="U5" s="117"/>
      <c r="V5" s="117"/>
      <c r="W5" s="117"/>
      <c r="X5" s="117"/>
      <c r="Y5" s="117"/>
      <c r="Z5" s="117"/>
      <c r="AA5" s="117"/>
      <c r="AB5" s="117"/>
      <c r="AC5" s="117"/>
    </row>
    <row r="6" spans="1:29" x14ac:dyDescent="0.3">
      <c r="A6" t="s">
        <v>61</v>
      </c>
      <c r="B6">
        <v>2000</v>
      </c>
      <c r="C6">
        <v>2001</v>
      </c>
      <c r="D6">
        <f t="shared" ref="D6:U6" si="0">C6+1</f>
        <v>2002</v>
      </c>
      <c r="E6">
        <f t="shared" si="0"/>
        <v>2003</v>
      </c>
      <c r="F6">
        <f t="shared" si="0"/>
        <v>2004</v>
      </c>
      <c r="G6">
        <f t="shared" si="0"/>
        <v>2005</v>
      </c>
      <c r="H6">
        <f t="shared" si="0"/>
        <v>2006</v>
      </c>
      <c r="I6">
        <f t="shared" si="0"/>
        <v>2007</v>
      </c>
      <c r="J6">
        <f t="shared" si="0"/>
        <v>2008</v>
      </c>
      <c r="K6">
        <f t="shared" si="0"/>
        <v>2009</v>
      </c>
      <c r="L6">
        <f t="shared" si="0"/>
        <v>2010</v>
      </c>
      <c r="M6">
        <f t="shared" si="0"/>
        <v>2011</v>
      </c>
      <c r="N6">
        <f t="shared" si="0"/>
        <v>2012</v>
      </c>
      <c r="O6">
        <f t="shared" si="0"/>
        <v>2013</v>
      </c>
      <c r="P6">
        <f t="shared" si="0"/>
        <v>2014</v>
      </c>
      <c r="Q6">
        <f t="shared" si="0"/>
        <v>2015</v>
      </c>
      <c r="R6">
        <f t="shared" si="0"/>
        <v>2016</v>
      </c>
      <c r="S6">
        <f t="shared" si="0"/>
        <v>2017</v>
      </c>
      <c r="T6">
        <f t="shared" si="0"/>
        <v>2018</v>
      </c>
      <c r="U6">
        <f t="shared" si="0"/>
        <v>2019</v>
      </c>
      <c r="V6"/>
      <c r="W6"/>
      <c r="X6"/>
      <c r="Y6"/>
      <c r="Z6"/>
      <c r="AA6"/>
      <c r="AB6"/>
      <c r="AC6"/>
    </row>
    <row r="7" spans="1:29" x14ac:dyDescent="0.3">
      <c r="A7" t="s">
        <v>70</v>
      </c>
      <c r="B7" cm="1">
        <f t="array" ref="B7:U7">TRANSPOSE(N13:N32)</f>
        <v>5913</v>
      </c>
      <c r="C7">
        <v>5766</v>
      </c>
      <c r="D7">
        <v>6114</v>
      </c>
      <c r="E7">
        <v>6381</v>
      </c>
      <c r="F7">
        <v>6092</v>
      </c>
      <c r="G7">
        <v>6224</v>
      </c>
      <c r="H7">
        <v>5533</v>
      </c>
      <c r="I7">
        <v>6026</v>
      </c>
      <c r="J7">
        <v>6432</v>
      </c>
      <c r="K7">
        <v>6301</v>
      </c>
      <c r="L7">
        <v>5841</v>
      </c>
      <c r="M7">
        <v>6129</v>
      </c>
      <c r="N7">
        <v>5244</v>
      </c>
      <c r="O7">
        <v>6394</v>
      </c>
      <c r="P7">
        <v>6913</v>
      </c>
      <c r="Q7">
        <v>6043</v>
      </c>
      <c r="R7">
        <v>5590</v>
      </c>
      <c r="S7">
        <v>5740</v>
      </c>
      <c r="T7">
        <v>6527</v>
      </c>
      <c r="U7">
        <v>6498</v>
      </c>
      <c r="V7"/>
      <c r="W7"/>
      <c r="X7"/>
      <c r="Y7"/>
      <c r="Z7"/>
      <c r="AA7"/>
      <c r="AB7"/>
      <c r="AC7"/>
    </row>
    <row r="8" spans="1:29" x14ac:dyDescent="0.3">
      <c r="A8" t="s">
        <v>71</v>
      </c>
      <c r="B8" t="str" cm="1">
        <f t="array" ref="B8:U8">TRANSPOSE(AC13:AC32)</f>
        <v>M</v>
      </c>
      <c r="C8">
        <v>809</v>
      </c>
      <c r="D8">
        <v>1044</v>
      </c>
      <c r="E8">
        <v>599</v>
      </c>
      <c r="F8">
        <v>636</v>
      </c>
      <c r="G8">
        <v>1051</v>
      </c>
      <c r="H8">
        <v>768</v>
      </c>
      <c r="I8">
        <v>936</v>
      </c>
      <c r="J8">
        <v>718</v>
      </c>
      <c r="K8">
        <v>506</v>
      </c>
      <c r="L8">
        <v>1010</v>
      </c>
      <c r="M8">
        <v>972</v>
      </c>
      <c r="N8">
        <v>1104</v>
      </c>
      <c r="O8">
        <v>784</v>
      </c>
      <c r="P8">
        <v>626</v>
      </c>
      <c r="Q8">
        <v>774</v>
      </c>
      <c r="R8">
        <v>1075</v>
      </c>
      <c r="S8">
        <v>743</v>
      </c>
      <c r="T8">
        <v>879</v>
      </c>
      <c r="U8">
        <v>655</v>
      </c>
      <c r="V8"/>
      <c r="W8"/>
      <c r="X8"/>
      <c r="Y8"/>
      <c r="Z8"/>
      <c r="AA8"/>
      <c r="AB8"/>
      <c r="AC8"/>
    </row>
    <row r="9" spans="1:29" x14ac:dyDescent="0.3">
      <c r="A9" s="133" t="s">
        <v>67</v>
      </c>
      <c r="B9" s="139" t="s">
        <v>72</v>
      </c>
    </row>
    <row r="11" spans="1:29" s="138" customFormat="1" ht="18" x14ac:dyDescent="0.35">
      <c r="A11" s="117" t="s">
        <v>31</v>
      </c>
      <c r="B11" s="117" t="s">
        <v>70</v>
      </c>
      <c r="C11" s="117"/>
      <c r="D11" s="117"/>
      <c r="E11" s="117"/>
      <c r="F11" s="117"/>
      <c r="G11" s="117"/>
      <c r="H11" s="117"/>
      <c r="I11" s="117"/>
      <c r="J11" s="117"/>
      <c r="K11" s="117"/>
      <c r="L11" s="117"/>
      <c r="M11" s="117"/>
      <c r="N11" s="117"/>
      <c r="O11" s="117"/>
      <c r="P11" s="117" t="s">
        <v>12</v>
      </c>
      <c r="Q11" s="117"/>
      <c r="R11" s="117"/>
      <c r="S11" s="117"/>
      <c r="T11" s="117"/>
      <c r="U11" s="117"/>
      <c r="V11" s="117"/>
      <c r="W11" s="117"/>
      <c r="X11" s="117"/>
      <c r="Y11" s="117"/>
      <c r="Z11" s="117"/>
      <c r="AA11" s="117"/>
      <c r="AB11" s="117"/>
      <c r="AC11" s="117"/>
    </row>
    <row r="12" spans="1:29" x14ac:dyDescent="0.3">
      <c r="A12"/>
      <c r="B12" t="s">
        <v>73</v>
      </c>
      <c r="C12" t="s">
        <v>74</v>
      </c>
      <c r="D12" t="s">
        <v>75</v>
      </c>
      <c r="E12" t="s">
        <v>76</v>
      </c>
      <c r="F12" t="s">
        <v>77</v>
      </c>
      <c r="G12" t="s">
        <v>78</v>
      </c>
      <c r="H12" t="s">
        <v>79</v>
      </c>
      <c r="I12" t="s">
        <v>80</v>
      </c>
      <c r="J12" t="s">
        <v>81</v>
      </c>
      <c r="K12" t="s">
        <v>82</v>
      </c>
      <c r="L12" t="s">
        <v>83</v>
      </c>
      <c r="M12" t="s">
        <v>84</v>
      </c>
      <c r="N12" t="s">
        <v>85</v>
      </c>
      <c r="O12"/>
      <c r="P12" s="1"/>
      <c r="Q12" t="str">
        <f>B12</f>
        <v>January</v>
      </c>
      <c r="R12" t="str">
        <f t="shared" ref="R12:AC12" si="1">C12</f>
        <v>February</v>
      </c>
      <c r="S12" t="str">
        <f t="shared" si="1"/>
        <v>March</v>
      </c>
      <c r="T12" t="str">
        <f t="shared" si="1"/>
        <v>April</v>
      </c>
      <c r="U12" t="str">
        <f t="shared" si="1"/>
        <v>May</v>
      </c>
      <c r="V12" t="str">
        <f t="shared" si="1"/>
        <v>June</v>
      </c>
      <c r="W12" t="str">
        <f t="shared" si="1"/>
        <v>July</v>
      </c>
      <c r="X12" t="str">
        <f t="shared" si="1"/>
        <v>August</v>
      </c>
      <c r="Y12" t="str">
        <f t="shared" si="1"/>
        <v>September</v>
      </c>
      <c r="Z12" t="str">
        <f t="shared" si="1"/>
        <v>October</v>
      </c>
      <c r="AA12" t="str">
        <f t="shared" si="1"/>
        <v>November</v>
      </c>
      <c r="AB12" t="str">
        <f t="shared" si="1"/>
        <v>December</v>
      </c>
      <c r="AC12" t="str">
        <f t="shared" si="1"/>
        <v>Total</v>
      </c>
    </row>
    <row r="13" spans="1:29" x14ac:dyDescent="0.3">
      <c r="A13">
        <v>2000</v>
      </c>
      <c r="B13">
        <v>1261</v>
      </c>
      <c r="C13">
        <v>939</v>
      </c>
      <c r="D13">
        <v>665</v>
      </c>
      <c r="E13">
        <v>498</v>
      </c>
      <c r="F13">
        <v>158</v>
      </c>
      <c r="G13">
        <v>38</v>
      </c>
      <c r="H13">
        <v>6</v>
      </c>
      <c r="I13">
        <v>15</v>
      </c>
      <c r="J13">
        <v>142</v>
      </c>
      <c r="K13" t="s">
        <v>86</v>
      </c>
      <c r="L13">
        <v>760</v>
      </c>
      <c r="M13">
        <v>1431</v>
      </c>
      <c r="N13">
        <f>SUM(B13:M13)</f>
        <v>5913</v>
      </c>
      <c r="O13"/>
      <c r="P13">
        <v>2000</v>
      </c>
      <c r="Q13">
        <v>0</v>
      </c>
      <c r="R13">
        <v>0</v>
      </c>
      <c r="S13">
        <v>1</v>
      </c>
      <c r="T13">
        <v>0</v>
      </c>
      <c r="U13">
        <v>65</v>
      </c>
      <c r="V13">
        <v>153</v>
      </c>
      <c r="W13">
        <v>143</v>
      </c>
      <c r="X13">
        <v>184</v>
      </c>
      <c r="Y13">
        <v>86</v>
      </c>
      <c r="Z13" t="s">
        <v>86</v>
      </c>
      <c r="AA13">
        <v>0</v>
      </c>
      <c r="AB13">
        <v>0</v>
      </c>
      <c r="AC13" t="s">
        <v>86</v>
      </c>
    </row>
    <row r="14" spans="1:29" x14ac:dyDescent="0.3">
      <c r="A14">
        <f>A13+1</f>
        <v>2001</v>
      </c>
      <c r="B14">
        <v>1196</v>
      </c>
      <c r="C14">
        <v>1001</v>
      </c>
      <c r="D14">
        <v>950</v>
      </c>
      <c r="E14">
        <v>418</v>
      </c>
      <c r="F14">
        <v>156</v>
      </c>
      <c r="G14">
        <v>59</v>
      </c>
      <c r="H14">
        <v>12</v>
      </c>
      <c r="I14">
        <v>0</v>
      </c>
      <c r="J14">
        <v>147</v>
      </c>
      <c r="K14">
        <v>389</v>
      </c>
      <c r="L14">
        <v>519</v>
      </c>
      <c r="M14">
        <v>919</v>
      </c>
      <c r="N14">
        <f t="shared" ref="N14:N33" si="2">SUM(B14:M14)</f>
        <v>5766</v>
      </c>
      <c r="O14"/>
      <c r="P14">
        <v>2001</v>
      </c>
      <c r="Q14">
        <v>0</v>
      </c>
      <c r="R14">
        <v>0</v>
      </c>
      <c r="S14">
        <v>0</v>
      </c>
      <c r="T14">
        <v>7</v>
      </c>
      <c r="U14">
        <v>43</v>
      </c>
      <c r="V14">
        <v>172</v>
      </c>
      <c r="W14">
        <v>263</v>
      </c>
      <c r="X14">
        <v>266</v>
      </c>
      <c r="Y14">
        <v>53</v>
      </c>
      <c r="Z14">
        <v>5</v>
      </c>
      <c r="AA14">
        <v>0</v>
      </c>
      <c r="AB14">
        <v>0</v>
      </c>
      <c r="AC14">
        <v>809</v>
      </c>
    </row>
    <row r="15" spans="1:29" x14ac:dyDescent="0.3">
      <c r="A15">
        <f t="shared" ref="A15:A33" si="3">A14+1</f>
        <v>2002</v>
      </c>
      <c r="B15">
        <v>1003</v>
      </c>
      <c r="C15">
        <v>898</v>
      </c>
      <c r="D15">
        <v>940</v>
      </c>
      <c r="E15">
        <v>499</v>
      </c>
      <c r="F15">
        <v>325</v>
      </c>
      <c r="G15">
        <v>22</v>
      </c>
      <c r="H15">
        <v>0</v>
      </c>
      <c r="I15">
        <v>1</v>
      </c>
      <c r="J15">
        <v>41</v>
      </c>
      <c r="K15">
        <v>480</v>
      </c>
      <c r="L15">
        <v>786</v>
      </c>
      <c r="M15">
        <v>1119</v>
      </c>
      <c r="N15">
        <f t="shared" si="2"/>
        <v>6114</v>
      </c>
      <c r="O15"/>
      <c r="P15">
        <v>2002</v>
      </c>
      <c r="Q15">
        <v>0</v>
      </c>
      <c r="R15">
        <v>0</v>
      </c>
      <c r="S15">
        <v>0</v>
      </c>
      <c r="T15">
        <v>38</v>
      </c>
      <c r="U15">
        <v>25</v>
      </c>
      <c r="V15">
        <v>210</v>
      </c>
      <c r="W15">
        <v>351</v>
      </c>
      <c r="X15">
        <v>244</v>
      </c>
      <c r="Y15">
        <v>151</v>
      </c>
      <c r="Z15">
        <v>25</v>
      </c>
      <c r="AA15">
        <v>0</v>
      </c>
      <c r="AB15">
        <v>0</v>
      </c>
      <c r="AC15">
        <v>1044</v>
      </c>
    </row>
    <row r="16" spans="1:29" x14ac:dyDescent="0.3">
      <c r="A16">
        <f t="shared" si="3"/>
        <v>2003</v>
      </c>
      <c r="B16">
        <v>1378</v>
      </c>
      <c r="C16">
        <v>1169</v>
      </c>
      <c r="D16">
        <v>865</v>
      </c>
      <c r="E16">
        <v>496</v>
      </c>
      <c r="F16">
        <v>244</v>
      </c>
      <c r="G16">
        <v>50</v>
      </c>
      <c r="H16">
        <v>0</v>
      </c>
      <c r="I16">
        <v>0</v>
      </c>
      <c r="J16">
        <v>110</v>
      </c>
      <c r="K16">
        <v>427</v>
      </c>
      <c r="L16">
        <v>627</v>
      </c>
      <c r="M16">
        <v>1015</v>
      </c>
      <c r="N16">
        <f t="shared" si="2"/>
        <v>6381</v>
      </c>
      <c r="O16"/>
      <c r="P16">
        <v>2003</v>
      </c>
      <c r="Q16">
        <v>0</v>
      </c>
      <c r="R16">
        <v>0</v>
      </c>
      <c r="S16">
        <v>0</v>
      </c>
      <c r="T16">
        <v>5</v>
      </c>
      <c r="U16">
        <v>0</v>
      </c>
      <c r="V16">
        <v>101</v>
      </c>
      <c r="W16">
        <v>217</v>
      </c>
      <c r="X16">
        <v>230</v>
      </c>
      <c r="Y16">
        <v>46</v>
      </c>
      <c r="Z16">
        <v>0</v>
      </c>
      <c r="AA16">
        <v>0</v>
      </c>
      <c r="AB16">
        <v>0</v>
      </c>
      <c r="AC16">
        <v>599</v>
      </c>
    </row>
    <row r="17" spans="1:29" x14ac:dyDescent="0.3">
      <c r="A17">
        <f t="shared" si="3"/>
        <v>2004</v>
      </c>
      <c r="B17">
        <v>1419</v>
      </c>
      <c r="C17">
        <v>1067</v>
      </c>
      <c r="D17">
        <v>759</v>
      </c>
      <c r="E17">
        <v>435</v>
      </c>
      <c r="F17">
        <v>156</v>
      </c>
      <c r="G17">
        <v>42</v>
      </c>
      <c r="H17">
        <v>6</v>
      </c>
      <c r="I17">
        <v>23</v>
      </c>
      <c r="J17">
        <v>34</v>
      </c>
      <c r="K17">
        <v>357</v>
      </c>
      <c r="L17">
        <v>677</v>
      </c>
      <c r="M17">
        <v>1117</v>
      </c>
      <c r="N17">
        <f t="shared" si="2"/>
        <v>6092</v>
      </c>
      <c r="O17"/>
      <c r="P17">
        <v>2004</v>
      </c>
      <c r="Q17">
        <v>0</v>
      </c>
      <c r="R17">
        <v>0</v>
      </c>
      <c r="S17">
        <v>0</v>
      </c>
      <c r="T17">
        <v>21</v>
      </c>
      <c r="U17">
        <v>60</v>
      </c>
      <c r="V17">
        <v>108</v>
      </c>
      <c r="W17">
        <v>206</v>
      </c>
      <c r="X17">
        <v>125</v>
      </c>
      <c r="Y17">
        <v>115</v>
      </c>
      <c r="Z17">
        <v>1</v>
      </c>
      <c r="AA17">
        <v>0</v>
      </c>
      <c r="AB17">
        <v>0</v>
      </c>
      <c r="AC17">
        <v>636</v>
      </c>
    </row>
    <row r="18" spans="1:29" x14ac:dyDescent="0.3">
      <c r="A18">
        <f t="shared" si="3"/>
        <v>2005</v>
      </c>
      <c r="B18">
        <v>1270</v>
      </c>
      <c r="C18">
        <v>1008</v>
      </c>
      <c r="D18">
        <v>979</v>
      </c>
      <c r="E18">
        <v>407</v>
      </c>
      <c r="F18">
        <v>269</v>
      </c>
      <c r="G18">
        <v>13</v>
      </c>
      <c r="H18">
        <v>2</v>
      </c>
      <c r="I18">
        <v>0</v>
      </c>
      <c r="J18">
        <v>32</v>
      </c>
      <c r="K18">
        <v>365</v>
      </c>
      <c r="L18">
        <v>662</v>
      </c>
      <c r="M18">
        <v>1217</v>
      </c>
      <c r="N18">
        <f t="shared" si="2"/>
        <v>6224</v>
      </c>
      <c r="O18"/>
      <c r="P18">
        <v>2005</v>
      </c>
      <c r="Q18">
        <v>0</v>
      </c>
      <c r="R18">
        <v>0</v>
      </c>
      <c r="S18">
        <v>0</v>
      </c>
      <c r="T18">
        <v>2</v>
      </c>
      <c r="U18">
        <v>8</v>
      </c>
      <c r="V18">
        <v>277</v>
      </c>
      <c r="W18">
        <v>303</v>
      </c>
      <c r="X18">
        <v>299</v>
      </c>
      <c r="Y18">
        <v>131</v>
      </c>
      <c r="Z18">
        <v>31</v>
      </c>
      <c r="AA18">
        <v>0</v>
      </c>
      <c r="AB18">
        <v>0</v>
      </c>
      <c r="AC18">
        <v>1051</v>
      </c>
    </row>
    <row r="19" spans="1:29" x14ac:dyDescent="0.3">
      <c r="A19">
        <f t="shared" si="3"/>
        <v>2006</v>
      </c>
      <c r="B19">
        <v>925</v>
      </c>
      <c r="C19">
        <v>990</v>
      </c>
      <c r="D19">
        <v>840</v>
      </c>
      <c r="E19">
        <v>376</v>
      </c>
      <c r="F19">
        <v>213</v>
      </c>
      <c r="G19">
        <v>22</v>
      </c>
      <c r="H19">
        <v>1</v>
      </c>
      <c r="I19">
        <v>0</v>
      </c>
      <c r="J19">
        <v>125</v>
      </c>
      <c r="K19">
        <v>481</v>
      </c>
      <c r="L19">
        <v>679</v>
      </c>
      <c r="M19">
        <v>881</v>
      </c>
      <c r="N19">
        <f t="shared" si="2"/>
        <v>5533</v>
      </c>
      <c r="O19"/>
      <c r="P19">
        <v>2006</v>
      </c>
      <c r="Q19">
        <v>0</v>
      </c>
      <c r="R19">
        <v>0</v>
      </c>
      <c r="S19">
        <v>0</v>
      </c>
      <c r="T19">
        <v>2</v>
      </c>
      <c r="U19">
        <v>66</v>
      </c>
      <c r="V19">
        <v>121</v>
      </c>
      <c r="W19">
        <v>308</v>
      </c>
      <c r="X19">
        <v>237</v>
      </c>
      <c r="Y19">
        <v>30</v>
      </c>
      <c r="Z19">
        <v>4</v>
      </c>
      <c r="AA19">
        <v>0</v>
      </c>
      <c r="AB19">
        <v>0</v>
      </c>
      <c r="AC19">
        <v>768</v>
      </c>
    </row>
    <row r="20" spans="1:29" x14ac:dyDescent="0.3">
      <c r="A20">
        <f t="shared" si="3"/>
        <v>2007</v>
      </c>
      <c r="B20">
        <v>1104</v>
      </c>
      <c r="C20">
        <v>1263</v>
      </c>
      <c r="D20">
        <v>734</v>
      </c>
      <c r="E20">
        <v>530</v>
      </c>
      <c r="F20">
        <v>134</v>
      </c>
      <c r="G20">
        <v>19</v>
      </c>
      <c r="H20">
        <v>7</v>
      </c>
      <c r="I20">
        <v>13</v>
      </c>
      <c r="J20">
        <v>73</v>
      </c>
      <c r="K20">
        <v>240</v>
      </c>
      <c r="L20">
        <v>776</v>
      </c>
      <c r="M20">
        <v>1133</v>
      </c>
      <c r="N20">
        <f t="shared" si="2"/>
        <v>6026</v>
      </c>
      <c r="O20"/>
      <c r="P20">
        <v>2007</v>
      </c>
      <c r="Q20">
        <v>0</v>
      </c>
      <c r="R20">
        <v>0</v>
      </c>
      <c r="S20">
        <v>6</v>
      </c>
      <c r="T20">
        <v>4</v>
      </c>
      <c r="U20">
        <v>76</v>
      </c>
      <c r="V20">
        <v>199</v>
      </c>
      <c r="W20">
        <v>203</v>
      </c>
      <c r="X20">
        <v>271</v>
      </c>
      <c r="Y20">
        <v>120</v>
      </c>
      <c r="Z20">
        <v>57</v>
      </c>
      <c r="AA20">
        <v>0</v>
      </c>
      <c r="AB20">
        <v>0</v>
      </c>
      <c r="AC20">
        <v>936</v>
      </c>
    </row>
    <row r="21" spans="1:29" x14ac:dyDescent="0.3">
      <c r="A21">
        <f t="shared" si="3"/>
        <v>2008</v>
      </c>
      <c r="B21">
        <v>1140</v>
      </c>
      <c r="C21">
        <v>1172</v>
      </c>
      <c r="D21">
        <v>963</v>
      </c>
      <c r="E21">
        <v>392</v>
      </c>
      <c r="F21">
        <v>260</v>
      </c>
      <c r="G21">
        <v>18</v>
      </c>
      <c r="H21">
        <v>4</v>
      </c>
      <c r="I21">
        <v>6</v>
      </c>
      <c r="J21">
        <v>43</v>
      </c>
      <c r="K21">
        <v>450</v>
      </c>
      <c r="L21">
        <v>786</v>
      </c>
      <c r="M21">
        <v>1198</v>
      </c>
      <c r="N21">
        <f t="shared" si="2"/>
        <v>6432</v>
      </c>
      <c r="O21"/>
      <c r="P21">
        <v>2008</v>
      </c>
      <c r="Q21">
        <v>0</v>
      </c>
      <c r="R21">
        <v>0</v>
      </c>
      <c r="S21">
        <v>0</v>
      </c>
      <c r="T21">
        <v>0</v>
      </c>
      <c r="U21">
        <v>19</v>
      </c>
      <c r="V21">
        <v>173</v>
      </c>
      <c r="W21">
        <v>248</v>
      </c>
      <c r="X21">
        <v>209</v>
      </c>
      <c r="Y21">
        <v>67</v>
      </c>
      <c r="Z21">
        <v>2</v>
      </c>
      <c r="AA21">
        <v>0</v>
      </c>
      <c r="AB21">
        <v>0</v>
      </c>
      <c r="AC21">
        <v>718</v>
      </c>
    </row>
    <row r="22" spans="1:29" x14ac:dyDescent="0.3">
      <c r="A22">
        <f t="shared" si="3"/>
        <v>2009</v>
      </c>
      <c r="B22">
        <v>1453</v>
      </c>
      <c r="C22">
        <v>1018</v>
      </c>
      <c r="D22">
        <v>824</v>
      </c>
      <c r="E22">
        <v>476</v>
      </c>
      <c r="F22">
        <v>189</v>
      </c>
      <c r="G22">
        <v>38</v>
      </c>
      <c r="H22">
        <v>17</v>
      </c>
      <c r="I22">
        <v>20</v>
      </c>
      <c r="J22">
        <v>64</v>
      </c>
      <c r="K22">
        <v>478</v>
      </c>
      <c r="L22">
        <v>601</v>
      </c>
      <c r="M22">
        <v>1123</v>
      </c>
      <c r="N22">
        <f t="shared" si="2"/>
        <v>6301</v>
      </c>
      <c r="O22"/>
      <c r="P22">
        <v>2009</v>
      </c>
      <c r="Q22">
        <v>0</v>
      </c>
      <c r="R22">
        <v>0</v>
      </c>
      <c r="S22">
        <v>0</v>
      </c>
      <c r="T22">
        <v>20</v>
      </c>
      <c r="U22">
        <v>19</v>
      </c>
      <c r="V22">
        <v>112</v>
      </c>
      <c r="W22">
        <v>111</v>
      </c>
      <c r="X22">
        <v>182</v>
      </c>
      <c r="Y22">
        <v>62</v>
      </c>
      <c r="Z22">
        <v>0</v>
      </c>
      <c r="AA22">
        <v>0</v>
      </c>
      <c r="AB22">
        <v>0</v>
      </c>
      <c r="AC22">
        <v>506</v>
      </c>
    </row>
    <row r="23" spans="1:29" x14ac:dyDescent="0.3">
      <c r="A23">
        <f t="shared" si="3"/>
        <v>2010</v>
      </c>
      <c r="B23">
        <v>1246</v>
      </c>
      <c r="C23">
        <v>1045</v>
      </c>
      <c r="D23">
        <v>704</v>
      </c>
      <c r="E23">
        <v>319</v>
      </c>
      <c r="F23">
        <v>175</v>
      </c>
      <c r="G23">
        <v>17</v>
      </c>
      <c r="H23">
        <v>3</v>
      </c>
      <c r="I23">
        <v>2</v>
      </c>
      <c r="J23">
        <v>102</v>
      </c>
      <c r="K23">
        <v>302</v>
      </c>
      <c r="L23">
        <v>701</v>
      </c>
      <c r="M23">
        <v>1225</v>
      </c>
      <c r="N23">
        <f t="shared" si="2"/>
        <v>5841</v>
      </c>
      <c r="O23"/>
      <c r="P23">
        <v>2010</v>
      </c>
      <c r="Q23">
        <v>0</v>
      </c>
      <c r="R23">
        <v>0</v>
      </c>
      <c r="S23">
        <v>0</v>
      </c>
      <c r="T23">
        <v>8</v>
      </c>
      <c r="U23">
        <v>88</v>
      </c>
      <c r="V23">
        <v>192</v>
      </c>
      <c r="W23">
        <v>331</v>
      </c>
      <c r="X23">
        <v>297</v>
      </c>
      <c r="Y23">
        <v>88</v>
      </c>
      <c r="Z23">
        <v>6</v>
      </c>
      <c r="AA23">
        <v>0</v>
      </c>
      <c r="AB23">
        <v>0</v>
      </c>
      <c r="AC23">
        <v>1010</v>
      </c>
    </row>
    <row r="24" spans="1:29" x14ac:dyDescent="0.3">
      <c r="A24">
        <f t="shared" si="3"/>
        <v>2011</v>
      </c>
      <c r="B24">
        <v>1341</v>
      </c>
      <c r="C24">
        <v>1090</v>
      </c>
      <c r="D24">
        <v>934</v>
      </c>
      <c r="E24">
        <v>522</v>
      </c>
      <c r="F24">
        <v>188</v>
      </c>
      <c r="G24">
        <v>10</v>
      </c>
      <c r="H24">
        <v>0</v>
      </c>
      <c r="I24">
        <v>1</v>
      </c>
      <c r="J24">
        <v>130</v>
      </c>
      <c r="K24">
        <v>363</v>
      </c>
      <c r="L24">
        <v>600</v>
      </c>
      <c r="M24">
        <v>950</v>
      </c>
      <c r="N24">
        <f t="shared" si="2"/>
        <v>6129</v>
      </c>
      <c r="O24"/>
      <c r="P24">
        <v>2011</v>
      </c>
      <c r="Q24">
        <v>0</v>
      </c>
      <c r="R24">
        <v>0</v>
      </c>
      <c r="S24">
        <v>0</v>
      </c>
      <c r="T24">
        <v>5</v>
      </c>
      <c r="U24">
        <v>60</v>
      </c>
      <c r="V24">
        <v>170</v>
      </c>
      <c r="W24">
        <v>429</v>
      </c>
      <c r="X24">
        <v>214</v>
      </c>
      <c r="Y24">
        <v>90</v>
      </c>
      <c r="Z24">
        <v>4</v>
      </c>
      <c r="AA24">
        <v>0</v>
      </c>
      <c r="AB24">
        <v>0</v>
      </c>
      <c r="AC24">
        <v>972</v>
      </c>
    </row>
    <row r="25" spans="1:29" x14ac:dyDescent="0.3">
      <c r="A25">
        <f t="shared" si="3"/>
        <v>2012</v>
      </c>
      <c r="B25">
        <v>1071</v>
      </c>
      <c r="C25">
        <v>927</v>
      </c>
      <c r="D25">
        <v>451</v>
      </c>
      <c r="E25">
        <v>468</v>
      </c>
      <c r="F25">
        <v>86</v>
      </c>
      <c r="G25">
        <v>30</v>
      </c>
      <c r="H25">
        <v>0</v>
      </c>
      <c r="I25">
        <v>4</v>
      </c>
      <c r="J25">
        <v>116</v>
      </c>
      <c r="K25">
        <v>407</v>
      </c>
      <c r="L25">
        <v>755</v>
      </c>
      <c r="M25">
        <v>929</v>
      </c>
      <c r="N25">
        <f t="shared" si="2"/>
        <v>5244</v>
      </c>
      <c r="O25"/>
      <c r="P25">
        <v>2012</v>
      </c>
      <c r="Q25">
        <v>0</v>
      </c>
      <c r="R25">
        <v>0</v>
      </c>
      <c r="S25">
        <v>18</v>
      </c>
      <c r="T25">
        <v>2</v>
      </c>
      <c r="U25">
        <v>99</v>
      </c>
      <c r="V25">
        <v>230</v>
      </c>
      <c r="W25">
        <v>439</v>
      </c>
      <c r="X25">
        <v>222</v>
      </c>
      <c r="Y25">
        <v>90</v>
      </c>
      <c r="Z25">
        <v>4</v>
      </c>
      <c r="AA25">
        <v>0</v>
      </c>
      <c r="AB25">
        <v>0</v>
      </c>
      <c r="AC25">
        <v>1104</v>
      </c>
    </row>
    <row r="26" spans="1:29" x14ac:dyDescent="0.3">
      <c r="A26">
        <f t="shared" si="3"/>
        <v>2013</v>
      </c>
      <c r="B26">
        <v>1115</v>
      </c>
      <c r="C26">
        <v>1081</v>
      </c>
      <c r="D26">
        <v>975</v>
      </c>
      <c r="E26">
        <v>563</v>
      </c>
      <c r="F26">
        <v>135</v>
      </c>
      <c r="G26">
        <v>32</v>
      </c>
      <c r="H26">
        <v>12</v>
      </c>
      <c r="I26">
        <v>14</v>
      </c>
      <c r="J26">
        <v>95</v>
      </c>
      <c r="K26">
        <v>375</v>
      </c>
      <c r="L26">
        <v>817</v>
      </c>
      <c r="M26">
        <v>1180</v>
      </c>
      <c r="N26">
        <f t="shared" si="2"/>
        <v>6394</v>
      </c>
      <c r="O26"/>
      <c r="P26">
        <v>2013</v>
      </c>
      <c r="Q26">
        <v>0</v>
      </c>
      <c r="R26">
        <v>0</v>
      </c>
      <c r="S26">
        <v>0</v>
      </c>
      <c r="T26">
        <v>0</v>
      </c>
      <c r="U26">
        <v>83</v>
      </c>
      <c r="V26">
        <v>145</v>
      </c>
      <c r="W26">
        <v>264</v>
      </c>
      <c r="X26">
        <v>182</v>
      </c>
      <c r="Y26">
        <v>91</v>
      </c>
      <c r="Z26">
        <v>19</v>
      </c>
      <c r="AA26">
        <v>0</v>
      </c>
      <c r="AB26">
        <v>0</v>
      </c>
      <c r="AC26">
        <v>784</v>
      </c>
    </row>
    <row r="27" spans="1:29" x14ac:dyDescent="0.3">
      <c r="A27">
        <f t="shared" si="3"/>
        <v>2014</v>
      </c>
      <c r="B27">
        <v>1482</v>
      </c>
      <c r="C27">
        <v>1271</v>
      </c>
      <c r="D27">
        <v>1106</v>
      </c>
      <c r="E27">
        <v>477</v>
      </c>
      <c r="F27">
        <v>188</v>
      </c>
      <c r="G27">
        <v>10</v>
      </c>
      <c r="H27">
        <v>12</v>
      </c>
      <c r="I27">
        <v>7</v>
      </c>
      <c r="J27">
        <v>115</v>
      </c>
      <c r="K27">
        <v>390</v>
      </c>
      <c r="L27">
        <v>881</v>
      </c>
      <c r="M27">
        <v>974</v>
      </c>
      <c r="N27">
        <f t="shared" si="2"/>
        <v>6913</v>
      </c>
      <c r="O27"/>
      <c r="P27">
        <v>2014</v>
      </c>
      <c r="Q27">
        <v>0</v>
      </c>
      <c r="R27">
        <v>0</v>
      </c>
      <c r="S27">
        <v>0</v>
      </c>
      <c r="T27">
        <v>0</v>
      </c>
      <c r="U27">
        <v>63</v>
      </c>
      <c r="V27">
        <v>159</v>
      </c>
      <c r="W27">
        <v>138</v>
      </c>
      <c r="X27">
        <v>197</v>
      </c>
      <c r="Y27">
        <v>68</v>
      </c>
      <c r="Z27">
        <v>1</v>
      </c>
      <c r="AA27">
        <v>0</v>
      </c>
      <c r="AB27">
        <v>0</v>
      </c>
      <c r="AC27">
        <v>626</v>
      </c>
    </row>
    <row r="28" spans="1:29" x14ac:dyDescent="0.3">
      <c r="A28">
        <f t="shared" si="3"/>
        <v>2015</v>
      </c>
      <c r="B28">
        <v>1345</v>
      </c>
      <c r="C28">
        <v>1411</v>
      </c>
      <c r="D28">
        <v>924</v>
      </c>
      <c r="E28">
        <v>474</v>
      </c>
      <c r="F28">
        <v>110</v>
      </c>
      <c r="G28">
        <v>31</v>
      </c>
      <c r="H28">
        <v>8</v>
      </c>
      <c r="I28">
        <v>15</v>
      </c>
      <c r="J28">
        <v>45</v>
      </c>
      <c r="K28">
        <v>335</v>
      </c>
      <c r="L28">
        <v>573</v>
      </c>
      <c r="M28">
        <v>772</v>
      </c>
      <c r="N28">
        <f t="shared" si="2"/>
        <v>6043</v>
      </c>
      <c r="O28"/>
      <c r="P28">
        <v>2015</v>
      </c>
      <c r="Q28">
        <v>0</v>
      </c>
      <c r="R28">
        <v>0</v>
      </c>
      <c r="S28">
        <v>0</v>
      </c>
      <c r="T28">
        <v>0</v>
      </c>
      <c r="U28">
        <v>90</v>
      </c>
      <c r="V28">
        <v>126</v>
      </c>
      <c r="W28">
        <v>209</v>
      </c>
      <c r="X28">
        <v>186</v>
      </c>
      <c r="Y28">
        <v>163</v>
      </c>
      <c r="Z28">
        <v>0</v>
      </c>
      <c r="AA28">
        <v>0</v>
      </c>
      <c r="AB28">
        <v>0</v>
      </c>
      <c r="AC28">
        <v>774</v>
      </c>
    </row>
    <row r="29" spans="1:29" x14ac:dyDescent="0.3">
      <c r="A29">
        <f t="shared" si="3"/>
        <v>2016</v>
      </c>
      <c r="B29">
        <v>1178</v>
      </c>
      <c r="C29">
        <v>970</v>
      </c>
      <c r="D29">
        <v>668</v>
      </c>
      <c r="E29">
        <v>536</v>
      </c>
      <c r="F29">
        <v>213</v>
      </c>
      <c r="G29">
        <v>15</v>
      </c>
      <c r="H29">
        <v>1</v>
      </c>
      <c r="I29">
        <v>0</v>
      </c>
      <c r="J29">
        <v>34</v>
      </c>
      <c r="K29">
        <v>288</v>
      </c>
      <c r="L29">
        <v>558</v>
      </c>
      <c r="M29">
        <v>1129</v>
      </c>
      <c r="N29">
        <f t="shared" si="2"/>
        <v>5590</v>
      </c>
      <c r="O29"/>
      <c r="P29">
        <v>2016</v>
      </c>
      <c r="Q29">
        <v>0</v>
      </c>
      <c r="R29">
        <v>0</v>
      </c>
      <c r="S29">
        <v>0</v>
      </c>
      <c r="T29">
        <v>0</v>
      </c>
      <c r="U29">
        <v>69</v>
      </c>
      <c r="V29">
        <v>188</v>
      </c>
      <c r="W29">
        <v>324</v>
      </c>
      <c r="X29">
        <v>333</v>
      </c>
      <c r="Y29">
        <v>133</v>
      </c>
      <c r="Z29">
        <v>28</v>
      </c>
      <c r="AA29">
        <v>0</v>
      </c>
      <c r="AB29">
        <v>0</v>
      </c>
      <c r="AC29">
        <v>1075</v>
      </c>
    </row>
    <row r="30" spans="1:29" x14ac:dyDescent="0.3">
      <c r="A30">
        <f t="shared" si="3"/>
        <v>2017</v>
      </c>
      <c r="B30">
        <v>1064</v>
      </c>
      <c r="C30">
        <v>765</v>
      </c>
      <c r="D30">
        <v>869</v>
      </c>
      <c r="E30">
        <v>336</v>
      </c>
      <c r="F30">
        <v>224</v>
      </c>
      <c r="G30">
        <v>18</v>
      </c>
      <c r="H30">
        <v>1</v>
      </c>
      <c r="I30">
        <v>18</v>
      </c>
      <c r="J30">
        <v>113</v>
      </c>
      <c r="K30">
        <v>303</v>
      </c>
      <c r="L30">
        <v>782</v>
      </c>
      <c r="M30">
        <v>1247</v>
      </c>
      <c r="N30">
        <f t="shared" si="2"/>
        <v>5740</v>
      </c>
      <c r="O30"/>
      <c r="P30">
        <v>2017</v>
      </c>
      <c r="Q30">
        <v>0</v>
      </c>
      <c r="R30">
        <v>0</v>
      </c>
      <c r="S30">
        <v>0</v>
      </c>
      <c r="T30">
        <v>15</v>
      </c>
      <c r="U30">
        <v>37</v>
      </c>
      <c r="V30">
        <v>191</v>
      </c>
      <c r="W30">
        <v>252</v>
      </c>
      <c r="X30">
        <v>121</v>
      </c>
      <c r="Y30">
        <v>102</v>
      </c>
      <c r="Z30">
        <v>25</v>
      </c>
      <c r="AA30">
        <v>0</v>
      </c>
      <c r="AB30">
        <v>0</v>
      </c>
      <c r="AC30">
        <v>743</v>
      </c>
    </row>
    <row r="31" spans="1:29" x14ac:dyDescent="0.3">
      <c r="A31">
        <f t="shared" si="3"/>
        <v>2018</v>
      </c>
      <c r="B31">
        <v>1277</v>
      </c>
      <c r="C31">
        <v>994</v>
      </c>
      <c r="D31">
        <v>970</v>
      </c>
      <c r="E31">
        <v>699</v>
      </c>
      <c r="F31">
        <v>92</v>
      </c>
      <c r="G31">
        <v>14</v>
      </c>
      <c r="H31">
        <v>2</v>
      </c>
      <c r="I31">
        <v>2</v>
      </c>
      <c r="J31">
        <v>94</v>
      </c>
      <c r="K31">
        <v>459</v>
      </c>
      <c r="L31">
        <v>909</v>
      </c>
      <c r="M31">
        <v>1015</v>
      </c>
      <c r="N31">
        <f t="shared" si="2"/>
        <v>6527</v>
      </c>
      <c r="O31"/>
      <c r="P31">
        <v>2018</v>
      </c>
      <c r="Q31">
        <v>0</v>
      </c>
      <c r="R31">
        <v>0</v>
      </c>
      <c r="S31">
        <v>0</v>
      </c>
      <c r="T31">
        <v>0</v>
      </c>
      <c r="U31">
        <v>87</v>
      </c>
      <c r="V31">
        <v>147</v>
      </c>
      <c r="W31">
        <v>229</v>
      </c>
      <c r="X31">
        <v>251</v>
      </c>
      <c r="Y31">
        <v>141</v>
      </c>
      <c r="Z31">
        <v>24</v>
      </c>
      <c r="AA31">
        <v>0</v>
      </c>
      <c r="AB31">
        <v>0</v>
      </c>
      <c r="AC31">
        <v>879</v>
      </c>
    </row>
    <row r="32" spans="1:29" x14ac:dyDescent="0.3">
      <c r="A32">
        <f t="shared" si="3"/>
        <v>2019</v>
      </c>
      <c r="B32">
        <v>1297</v>
      </c>
      <c r="C32">
        <v>1069</v>
      </c>
      <c r="D32">
        <v>1003</v>
      </c>
      <c r="E32">
        <v>479</v>
      </c>
      <c r="F32">
        <v>228</v>
      </c>
      <c r="G32">
        <v>50</v>
      </c>
      <c r="H32">
        <v>0</v>
      </c>
      <c r="I32">
        <v>14</v>
      </c>
      <c r="J32">
        <v>34</v>
      </c>
      <c r="K32">
        <v>405</v>
      </c>
      <c r="L32">
        <v>931</v>
      </c>
      <c r="M32">
        <v>988</v>
      </c>
      <c r="N32">
        <f t="shared" si="2"/>
        <v>6498</v>
      </c>
      <c r="O32"/>
      <c r="P32">
        <v>2019</v>
      </c>
      <c r="Q32">
        <v>0</v>
      </c>
      <c r="R32">
        <v>0</v>
      </c>
      <c r="S32">
        <v>0</v>
      </c>
      <c r="T32">
        <v>0</v>
      </c>
      <c r="U32">
        <v>12</v>
      </c>
      <c r="V32">
        <v>92</v>
      </c>
      <c r="W32">
        <v>291</v>
      </c>
      <c r="X32">
        <v>165</v>
      </c>
      <c r="Y32">
        <v>85</v>
      </c>
      <c r="Z32">
        <v>10</v>
      </c>
      <c r="AA32">
        <v>0</v>
      </c>
      <c r="AB32">
        <v>0</v>
      </c>
      <c r="AC32">
        <v>655</v>
      </c>
    </row>
    <row r="33" spans="1:29" x14ac:dyDescent="0.3">
      <c r="A33">
        <f t="shared" si="3"/>
        <v>2020</v>
      </c>
      <c r="B33">
        <v>1049</v>
      </c>
      <c r="C33">
        <v>1049</v>
      </c>
      <c r="D33">
        <v>769</v>
      </c>
      <c r="E33">
        <v>589</v>
      </c>
      <c r="F33">
        <v>277</v>
      </c>
      <c r="G33">
        <v>37</v>
      </c>
      <c r="H33"/>
      <c r="I33"/>
      <c r="J33"/>
      <c r="K33"/>
      <c r="L33"/>
      <c r="M33"/>
      <c r="N33">
        <f t="shared" si="2"/>
        <v>3770</v>
      </c>
      <c r="O33"/>
      <c r="P33">
        <v>2020</v>
      </c>
      <c r="Q33">
        <v>0</v>
      </c>
      <c r="R33">
        <v>0</v>
      </c>
      <c r="S33">
        <v>0</v>
      </c>
      <c r="T33">
        <v>0</v>
      </c>
      <c r="U33">
        <v>44</v>
      </c>
      <c r="V33">
        <v>141</v>
      </c>
      <c r="W33" t="s">
        <v>86</v>
      </c>
      <c r="X33" t="s">
        <v>86</v>
      </c>
      <c r="Y33" t="s">
        <v>86</v>
      </c>
      <c r="Z33" t="s">
        <v>86</v>
      </c>
      <c r="AA33" t="s">
        <v>86</v>
      </c>
      <c r="AB33" t="s">
        <v>86</v>
      </c>
      <c r="AC33" t="s">
        <v>86</v>
      </c>
    </row>
    <row r="34" spans="1:29" x14ac:dyDescent="0.3">
      <c r="A34" s="129"/>
      <c r="B34" s="129"/>
      <c r="C34" s="129"/>
      <c r="D34" s="129"/>
      <c r="E34" s="129"/>
      <c r="F34" s="129"/>
      <c r="G34" s="129"/>
      <c r="H34" s="129"/>
      <c r="I34" s="129"/>
      <c r="J34" s="129"/>
      <c r="K34" s="129"/>
      <c r="L34" s="129"/>
      <c r="M34" s="129"/>
      <c r="N34" s="129"/>
      <c r="O34" s="104"/>
      <c r="P34" s="129"/>
      <c r="Q34" s="129"/>
      <c r="R34" s="129"/>
      <c r="S34" s="129"/>
      <c r="T34" s="129"/>
      <c r="U34" s="129"/>
      <c r="V34" s="129"/>
      <c r="W34" s="129"/>
      <c r="X34" s="129"/>
      <c r="Y34" s="129"/>
      <c r="Z34" s="129"/>
      <c r="AA34" s="129"/>
      <c r="AB34" s="129"/>
      <c r="AC34" s="129"/>
    </row>
    <row r="35" spans="1:29" x14ac:dyDescent="0.3">
      <c r="A35" s="129"/>
      <c r="B35" s="129"/>
      <c r="C35" s="129"/>
      <c r="D35" s="129"/>
      <c r="E35" s="129"/>
      <c r="F35" s="129"/>
      <c r="G35" s="129"/>
      <c r="H35" s="129"/>
      <c r="I35" s="129"/>
      <c r="J35" s="129"/>
      <c r="K35" s="129"/>
      <c r="L35" s="129"/>
      <c r="M35" s="129"/>
      <c r="N35" s="129"/>
      <c r="O35" s="104"/>
      <c r="P35" s="129"/>
      <c r="Q35" s="129"/>
      <c r="R35" s="129"/>
      <c r="S35" s="129"/>
      <c r="T35" s="129"/>
      <c r="U35" s="129"/>
      <c r="V35" s="129"/>
      <c r="W35" s="129"/>
      <c r="X35" s="129"/>
      <c r="Y35" s="129"/>
      <c r="Z35" s="129"/>
      <c r="AA35" s="129"/>
      <c r="AB35" s="129"/>
      <c r="AC35" s="129"/>
    </row>
    <row r="36" spans="1:29" x14ac:dyDescent="0.3">
      <c r="A36" s="129"/>
      <c r="B36" s="129"/>
      <c r="C36" s="129"/>
      <c r="D36" s="129"/>
      <c r="E36" s="129"/>
      <c r="F36" s="129"/>
      <c r="G36" s="129"/>
      <c r="H36" s="129"/>
      <c r="I36" s="129"/>
      <c r="J36" s="129"/>
      <c r="K36" s="129"/>
      <c r="L36" s="129"/>
      <c r="M36" s="129"/>
      <c r="N36" s="129"/>
      <c r="O36" s="104"/>
      <c r="P36" s="129"/>
      <c r="Q36" s="129"/>
      <c r="R36" s="129"/>
      <c r="S36" s="129"/>
      <c r="T36" s="129"/>
      <c r="U36" s="129"/>
      <c r="V36" s="129"/>
      <c r="W36" s="129"/>
      <c r="X36" s="129"/>
      <c r="Y36" s="129"/>
      <c r="Z36" s="129"/>
      <c r="AA36" s="129"/>
      <c r="AB36" s="129"/>
      <c r="AC36" s="129"/>
    </row>
    <row r="37" spans="1:29" x14ac:dyDescent="0.3">
      <c r="A37" s="129"/>
      <c r="B37" s="129"/>
      <c r="C37" s="129"/>
      <c r="D37" s="129"/>
      <c r="E37" s="129"/>
      <c r="F37" s="129"/>
      <c r="G37" s="129"/>
      <c r="H37" s="129"/>
      <c r="I37" s="129"/>
      <c r="J37" s="129"/>
      <c r="K37" s="129"/>
      <c r="L37" s="129"/>
      <c r="M37" s="129"/>
      <c r="N37" s="129"/>
      <c r="O37" s="104"/>
      <c r="P37" s="129"/>
      <c r="Q37" s="129"/>
      <c r="R37" s="129"/>
      <c r="S37" s="129"/>
      <c r="T37" s="129"/>
      <c r="U37" s="129"/>
      <c r="V37" s="129"/>
      <c r="W37" s="129"/>
      <c r="X37" s="129"/>
      <c r="Y37" s="129"/>
      <c r="Z37" s="129"/>
      <c r="AA37" s="129"/>
      <c r="AB37" s="129"/>
      <c r="AC37" s="129"/>
    </row>
    <row r="38" spans="1:29" x14ac:dyDescent="0.3">
      <c r="A38" s="129"/>
      <c r="B38" s="129"/>
      <c r="C38" s="129"/>
      <c r="D38" s="129"/>
      <c r="E38" s="129"/>
      <c r="F38" s="129"/>
      <c r="G38" s="129"/>
      <c r="H38" s="129"/>
      <c r="I38" s="129"/>
      <c r="J38" s="129"/>
      <c r="K38" s="129"/>
      <c r="L38" s="129"/>
      <c r="M38" s="129"/>
      <c r="N38" s="129"/>
      <c r="O38" s="104"/>
      <c r="P38" s="129"/>
      <c r="Q38" s="129"/>
      <c r="R38" s="129"/>
      <c r="S38" s="129"/>
      <c r="T38" s="129"/>
      <c r="U38" s="129"/>
      <c r="V38" s="129"/>
      <c r="W38" s="129"/>
      <c r="X38" s="129"/>
      <c r="Y38" s="129"/>
      <c r="Z38" s="129"/>
      <c r="AA38" s="129"/>
      <c r="AB38" s="129"/>
      <c r="AC38" s="129"/>
    </row>
    <row r="39" spans="1:29" x14ac:dyDescent="0.3">
      <c r="A39" s="129"/>
      <c r="B39" s="129"/>
      <c r="C39" s="129"/>
      <c r="D39" s="129"/>
      <c r="E39" s="129"/>
      <c r="F39" s="129"/>
      <c r="G39" s="129"/>
      <c r="H39" s="129"/>
      <c r="I39" s="129"/>
      <c r="J39" s="129"/>
      <c r="K39" s="129"/>
      <c r="L39" s="129"/>
      <c r="M39" s="129"/>
      <c r="N39" s="129"/>
      <c r="O39" s="104"/>
      <c r="P39" s="129"/>
      <c r="Q39" s="129"/>
      <c r="R39" s="129"/>
      <c r="S39" s="129"/>
      <c r="T39" s="129"/>
      <c r="U39" s="129"/>
      <c r="V39" s="129"/>
      <c r="W39" s="129"/>
      <c r="X39" s="129"/>
      <c r="Y39" s="129"/>
      <c r="Z39" s="129"/>
      <c r="AA39" s="129"/>
      <c r="AB39" s="129"/>
      <c r="AC39" s="129"/>
    </row>
    <row r="40" spans="1:29" x14ac:dyDescent="0.3">
      <c r="A40" s="129"/>
      <c r="B40" s="129"/>
      <c r="C40" s="129"/>
      <c r="D40" s="129"/>
      <c r="E40" s="129"/>
      <c r="F40" s="129"/>
      <c r="G40" s="129"/>
      <c r="H40" s="129"/>
      <c r="I40" s="129"/>
      <c r="J40" s="129"/>
      <c r="K40" s="129"/>
      <c r="L40" s="129"/>
      <c r="M40" s="129"/>
      <c r="N40" s="129"/>
      <c r="O40" s="104"/>
      <c r="P40" s="129"/>
      <c r="Q40" s="129"/>
      <c r="R40" s="129"/>
      <c r="S40" s="129"/>
      <c r="T40" s="129"/>
      <c r="U40" s="129"/>
      <c r="V40" s="129"/>
      <c r="W40" s="129"/>
      <c r="X40" s="129"/>
      <c r="Y40" s="129"/>
      <c r="Z40" s="129"/>
      <c r="AA40" s="129"/>
      <c r="AB40" s="129"/>
      <c r="AC40" s="129"/>
    </row>
    <row r="41" spans="1:29" x14ac:dyDescent="0.3">
      <c r="A41" s="129"/>
      <c r="B41" s="129"/>
      <c r="C41" s="129"/>
      <c r="D41" s="129"/>
      <c r="E41" s="129"/>
      <c r="F41" s="129"/>
      <c r="G41" s="129"/>
      <c r="H41" s="129"/>
      <c r="I41" s="129"/>
      <c r="J41" s="129"/>
      <c r="K41" s="129"/>
      <c r="L41" s="129"/>
      <c r="M41" s="129"/>
      <c r="N41" s="129"/>
      <c r="O41" s="104"/>
      <c r="P41" s="129"/>
      <c r="Q41" s="129"/>
      <c r="R41" s="129"/>
      <c r="S41" s="129"/>
      <c r="T41" s="129"/>
      <c r="U41" s="129"/>
      <c r="V41" s="129"/>
      <c r="W41" s="129"/>
      <c r="X41" s="129"/>
      <c r="Y41" s="129"/>
      <c r="Z41" s="129"/>
      <c r="AA41" s="129"/>
      <c r="AB41" s="129"/>
      <c r="AC41" s="129"/>
    </row>
    <row r="42" spans="1:29" x14ac:dyDescent="0.3">
      <c r="A42" s="129"/>
      <c r="B42" s="129"/>
      <c r="C42" s="129"/>
      <c r="D42" s="129"/>
      <c r="E42" s="129"/>
      <c r="F42" s="129"/>
      <c r="G42" s="129"/>
      <c r="H42" s="129"/>
      <c r="I42" s="129"/>
      <c r="J42" s="129"/>
      <c r="K42" s="129"/>
      <c r="L42" s="129"/>
      <c r="M42" s="129"/>
      <c r="N42" s="129"/>
      <c r="O42" s="104"/>
      <c r="P42" s="129"/>
      <c r="Q42" s="129"/>
      <c r="R42" s="129"/>
      <c r="S42" s="129"/>
      <c r="T42" s="129"/>
      <c r="U42" s="129"/>
      <c r="V42" s="129"/>
      <c r="W42" s="129"/>
      <c r="X42" s="129"/>
      <c r="Y42" s="129"/>
      <c r="Z42" s="129"/>
      <c r="AA42" s="129"/>
      <c r="AB42" s="129"/>
      <c r="AC42" s="129"/>
    </row>
    <row r="43" spans="1:29" x14ac:dyDescent="0.3">
      <c r="A43" s="129"/>
      <c r="B43" s="129"/>
      <c r="C43" s="129"/>
      <c r="D43" s="129"/>
      <c r="E43" s="129"/>
      <c r="F43" s="129"/>
      <c r="G43" s="129"/>
      <c r="H43" s="129"/>
      <c r="I43" s="129"/>
      <c r="J43" s="129"/>
      <c r="K43" s="129"/>
      <c r="L43" s="129"/>
      <c r="M43" s="129"/>
      <c r="N43" s="129"/>
      <c r="O43" s="104"/>
      <c r="P43" s="129"/>
      <c r="Q43" s="129"/>
      <c r="R43" s="129"/>
      <c r="S43" s="129"/>
      <c r="T43" s="129"/>
      <c r="U43" s="129"/>
      <c r="V43" s="129"/>
      <c r="W43" s="129"/>
      <c r="X43" s="129"/>
      <c r="Y43" s="129"/>
      <c r="Z43" s="129"/>
      <c r="AA43" s="129"/>
      <c r="AB43" s="129"/>
      <c r="AC43" s="129"/>
    </row>
    <row r="44" spans="1:29" x14ac:dyDescent="0.3">
      <c r="A44" s="129"/>
      <c r="B44" s="129"/>
      <c r="C44" s="129"/>
      <c r="D44" s="129"/>
      <c r="E44" s="129"/>
      <c r="F44" s="129"/>
      <c r="G44" s="129"/>
      <c r="H44" s="129"/>
      <c r="I44" s="129"/>
      <c r="J44" s="129"/>
      <c r="K44" s="129"/>
      <c r="L44" s="129"/>
      <c r="M44" s="129"/>
      <c r="N44" s="129"/>
      <c r="O44" s="104"/>
      <c r="P44" s="129"/>
      <c r="Q44" s="129"/>
      <c r="R44" s="129"/>
      <c r="S44" s="129"/>
      <c r="T44" s="129"/>
      <c r="U44" s="129"/>
      <c r="V44" s="129"/>
      <c r="W44" s="129"/>
      <c r="X44" s="129"/>
      <c r="Y44" s="129"/>
      <c r="Z44" s="129"/>
      <c r="AA44" s="129"/>
      <c r="AB44" s="129"/>
      <c r="AC44" s="129"/>
    </row>
    <row r="45" spans="1:29" x14ac:dyDescent="0.3">
      <c r="A45" s="129"/>
      <c r="B45" s="129"/>
      <c r="C45" s="129"/>
      <c r="D45" s="129"/>
      <c r="E45" s="129"/>
      <c r="F45" s="129"/>
      <c r="G45" s="129"/>
      <c r="H45" s="129"/>
      <c r="I45" s="129"/>
      <c r="J45" s="129"/>
      <c r="K45" s="129"/>
      <c r="L45" s="129"/>
      <c r="M45" s="129"/>
      <c r="N45" s="129"/>
      <c r="O45" s="104"/>
      <c r="P45" s="129"/>
      <c r="Q45" s="129"/>
      <c r="R45" s="129"/>
      <c r="S45" s="129"/>
      <c r="T45" s="129"/>
      <c r="U45" s="129"/>
      <c r="V45" s="129"/>
      <c r="W45" s="129"/>
      <c r="X45" s="129"/>
      <c r="Y45" s="129"/>
      <c r="Z45" s="129"/>
      <c r="AA45" s="129"/>
      <c r="AB45" s="129"/>
      <c r="AC45" s="129"/>
    </row>
    <row r="46" spans="1:29" x14ac:dyDescent="0.3">
      <c r="A46" s="129"/>
      <c r="B46" s="129"/>
      <c r="C46" s="129"/>
      <c r="D46" s="129"/>
      <c r="E46" s="129"/>
      <c r="F46" s="129"/>
      <c r="G46" s="129"/>
      <c r="H46" s="129"/>
      <c r="I46" s="129"/>
      <c r="J46" s="129"/>
      <c r="K46" s="129"/>
      <c r="L46" s="129"/>
      <c r="M46" s="129"/>
      <c r="N46" s="129"/>
      <c r="O46" s="104"/>
      <c r="P46" s="129"/>
      <c r="Q46" s="129"/>
      <c r="R46" s="129"/>
      <c r="S46" s="129"/>
      <c r="T46" s="129"/>
      <c r="U46" s="129"/>
      <c r="V46" s="129"/>
      <c r="W46" s="129"/>
      <c r="X46" s="129"/>
      <c r="Y46" s="129"/>
      <c r="Z46" s="129"/>
      <c r="AA46" s="129"/>
      <c r="AB46" s="129"/>
      <c r="AC46" s="129"/>
    </row>
    <row r="47" spans="1:29" x14ac:dyDescent="0.3">
      <c r="A47" s="129"/>
      <c r="B47" s="129"/>
      <c r="C47" s="129"/>
      <c r="D47" s="129"/>
      <c r="E47" s="129"/>
      <c r="F47" s="129"/>
      <c r="G47" s="129"/>
      <c r="H47" s="129"/>
      <c r="I47" s="129"/>
      <c r="J47" s="129"/>
      <c r="K47" s="129"/>
      <c r="L47" s="129"/>
      <c r="M47" s="129"/>
      <c r="N47" s="129"/>
      <c r="O47" s="104"/>
      <c r="P47" s="129"/>
      <c r="Q47" s="129"/>
      <c r="R47" s="129"/>
      <c r="S47" s="129"/>
      <c r="T47" s="129"/>
      <c r="U47" s="129"/>
      <c r="V47" s="129"/>
      <c r="W47" s="129"/>
      <c r="X47" s="129"/>
      <c r="Y47" s="129"/>
      <c r="Z47" s="129"/>
      <c r="AA47" s="129"/>
      <c r="AB47" s="129"/>
      <c r="AC47" s="129"/>
    </row>
    <row r="48" spans="1:29" x14ac:dyDescent="0.3">
      <c r="A48" s="129"/>
      <c r="B48" s="129"/>
      <c r="C48" s="129"/>
      <c r="D48" s="129"/>
      <c r="E48" s="129"/>
      <c r="F48" s="129"/>
      <c r="G48" s="129"/>
      <c r="H48" s="129"/>
      <c r="I48" s="129"/>
      <c r="J48" s="129"/>
      <c r="K48" s="129"/>
      <c r="L48" s="129"/>
      <c r="M48" s="129"/>
      <c r="N48" s="129"/>
      <c r="O48" s="104"/>
      <c r="P48" s="129"/>
      <c r="Q48" s="129"/>
      <c r="R48" s="129"/>
      <c r="S48" s="129"/>
      <c r="T48" s="129"/>
      <c r="U48" s="129"/>
      <c r="V48" s="129"/>
      <c r="W48" s="129"/>
      <c r="X48" s="129"/>
      <c r="Y48" s="129"/>
      <c r="Z48" s="129"/>
      <c r="AA48" s="129"/>
      <c r="AB48" s="129"/>
      <c r="AC48" s="129"/>
    </row>
    <row r="49" spans="1:29" x14ac:dyDescent="0.3">
      <c r="A49" s="129"/>
      <c r="B49" s="129"/>
      <c r="C49" s="129"/>
      <c r="D49" s="129"/>
      <c r="E49" s="129"/>
      <c r="F49" s="129"/>
      <c r="G49" s="129"/>
      <c r="H49" s="129"/>
      <c r="I49" s="129"/>
      <c r="J49" s="129"/>
      <c r="K49" s="129"/>
      <c r="L49" s="129"/>
      <c r="M49" s="129"/>
      <c r="N49" s="129"/>
      <c r="O49" s="104"/>
      <c r="P49" s="129"/>
      <c r="Q49" s="129"/>
      <c r="R49" s="129"/>
      <c r="S49" s="129"/>
      <c r="T49" s="129"/>
      <c r="U49" s="129"/>
      <c r="V49" s="129"/>
      <c r="W49" s="129"/>
      <c r="X49" s="129"/>
      <c r="Y49" s="129"/>
      <c r="Z49" s="129"/>
      <c r="AA49" s="129"/>
      <c r="AB49" s="129"/>
      <c r="AC49" s="129"/>
    </row>
    <row r="50" spans="1:29" x14ac:dyDescent="0.3">
      <c r="A50" s="129"/>
      <c r="B50" s="129"/>
      <c r="C50" s="129"/>
      <c r="D50" s="129"/>
      <c r="E50" s="129"/>
      <c r="F50" s="129"/>
      <c r="G50" s="129"/>
      <c r="H50" s="129"/>
      <c r="I50" s="129"/>
      <c r="J50" s="129"/>
      <c r="K50" s="129"/>
      <c r="L50" s="129"/>
      <c r="M50" s="129"/>
      <c r="N50" s="129"/>
      <c r="O50" s="104"/>
      <c r="P50" s="129"/>
      <c r="Q50" s="129"/>
      <c r="R50" s="129"/>
      <c r="S50" s="129"/>
      <c r="T50" s="129"/>
      <c r="U50" s="129"/>
      <c r="V50" s="129"/>
      <c r="W50" s="129"/>
      <c r="X50" s="129"/>
      <c r="Y50" s="129"/>
      <c r="Z50" s="129"/>
      <c r="AA50" s="129"/>
      <c r="AB50" s="129"/>
      <c r="AC50" s="129"/>
    </row>
    <row r="51" spans="1:29" x14ac:dyDescent="0.3">
      <c r="A51" s="129"/>
      <c r="B51" s="129"/>
      <c r="C51" s="129"/>
      <c r="D51" s="129"/>
      <c r="E51" s="129"/>
      <c r="F51" s="129"/>
      <c r="G51" s="129"/>
      <c r="H51" s="129"/>
      <c r="I51" s="129"/>
      <c r="J51" s="129"/>
      <c r="K51" s="129"/>
      <c r="L51" s="129"/>
      <c r="M51" s="129"/>
      <c r="N51" s="129"/>
      <c r="O51" s="104"/>
      <c r="P51" s="129"/>
      <c r="Q51" s="129"/>
      <c r="R51" s="129"/>
      <c r="S51" s="129"/>
      <c r="T51" s="129"/>
      <c r="U51" s="129"/>
      <c r="V51" s="129"/>
      <c r="W51" s="129"/>
      <c r="X51" s="129"/>
      <c r="Y51" s="129"/>
      <c r="Z51" s="129"/>
      <c r="AA51" s="129"/>
      <c r="AB51" s="129"/>
      <c r="AC51" s="129"/>
    </row>
    <row r="52" spans="1:29" x14ac:dyDescent="0.3">
      <c r="A52" s="129"/>
      <c r="B52" s="129"/>
      <c r="C52" s="129"/>
      <c r="D52" s="129"/>
      <c r="E52" s="129"/>
      <c r="F52" s="129"/>
      <c r="G52" s="129"/>
      <c r="H52" s="129"/>
      <c r="I52" s="129"/>
      <c r="J52" s="129"/>
      <c r="K52" s="129"/>
      <c r="L52" s="129"/>
      <c r="M52" s="129"/>
      <c r="N52" s="129"/>
      <c r="O52" s="104"/>
      <c r="P52" s="129"/>
      <c r="Q52" s="129"/>
      <c r="R52" s="129"/>
      <c r="S52" s="129"/>
      <c r="T52" s="129"/>
      <c r="U52" s="129"/>
      <c r="V52" s="129"/>
      <c r="W52" s="129"/>
      <c r="X52" s="129"/>
      <c r="Y52" s="129"/>
      <c r="Z52" s="129"/>
      <c r="AA52" s="129"/>
      <c r="AB52" s="129"/>
      <c r="AC52" s="129"/>
    </row>
    <row r="53" spans="1:29" x14ac:dyDescent="0.3">
      <c r="A53" s="129"/>
      <c r="B53" s="129"/>
      <c r="C53" s="129"/>
      <c r="D53" s="129"/>
      <c r="E53" s="129"/>
      <c r="F53" s="129"/>
      <c r="G53" s="129"/>
      <c r="H53" s="129"/>
      <c r="I53" s="129"/>
      <c r="J53" s="129"/>
      <c r="K53" s="129"/>
      <c r="L53" s="129"/>
      <c r="M53" s="129"/>
      <c r="N53" s="129"/>
      <c r="O53" s="104"/>
      <c r="P53" s="129"/>
      <c r="Q53" s="129"/>
      <c r="R53" s="129"/>
      <c r="S53" s="129"/>
      <c r="T53" s="129"/>
      <c r="U53" s="129"/>
      <c r="V53" s="129"/>
      <c r="W53" s="129"/>
      <c r="X53" s="129"/>
      <c r="Y53" s="129"/>
      <c r="Z53" s="129"/>
      <c r="AA53" s="129"/>
      <c r="AB53" s="129"/>
      <c r="AC53" s="129"/>
    </row>
    <row r="54" spans="1:29" x14ac:dyDescent="0.3">
      <c r="A54" s="129"/>
      <c r="B54" s="129"/>
      <c r="C54" s="129"/>
      <c r="D54" s="129"/>
      <c r="E54" s="129"/>
      <c r="F54" s="129"/>
      <c r="G54" s="129"/>
      <c r="H54" s="129"/>
      <c r="I54" s="129"/>
      <c r="J54" s="129"/>
      <c r="K54" s="129"/>
      <c r="L54" s="129"/>
      <c r="M54" s="129"/>
      <c r="N54" s="129"/>
      <c r="O54" s="104"/>
      <c r="P54" s="129"/>
      <c r="Q54" s="129"/>
      <c r="R54" s="129"/>
      <c r="S54" s="129"/>
      <c r="T54" s="129"/>
      <c r="U54" s="129"/>
      <c r="V54" s="129"/>
      <c r="W54" s="129"/>
      <c r="X54" s="129"/>
      <c r="Y54" s="129"/>
      <c r="Z54" s="129"/>
      <c r="AA54" s="129"/>
      <c r="AB54" s="129"/>
      <c r="AC54" s="129"/>
    </row>
    <row r="55" spans="1:29" x14ac:dyDescent="0.3">
      <c r="A55" s="129"/>
      <c r="B55" s="129"/>
      <c r="C55" s="129"/>
      <c r="D55" s="129"/>
      <c r="E55" s="129"/>
      <c r="F55" s="129"/>
      <c r="G55" s="129"/>
      <c r="H55" s="129"/>
      <c r="I55" s="129"/>
      <c r="J55" s="129"/>
      <c r="K55" s="129"/>
      <c r="L55" s="129"/>
      <c r="M55" s="129"/>
      <c r="N55" s="129"/>
      <c r="O55" s="104"/>
      <c r="P55" s="129"/>
      <c r="Q55" s="129"/>
      <c r="R55" s="129"/>
      <c r="S55" s="129"/>
      <c r="T55" s="129"/>
      <c r="U55" s="129"/>
      <c r="V55" s="129"/>
      <c r="W55" s="129"/>
      <c r="X55" s="129"/>
      <c r="Y55" s="129"/>
      <c r="Z55" s="129"/>
      <c r="AA55" s="129"/>
      <c r="AB55" s="129"/>
      <c r="AC55" s="129"/>
    </row>
    <row r="56" spans="1:29" x14ac:dyDescent="0.3">
      <c r="A56" s="129"/>
      <c r="B56" s="129"/>
      <c r="C56" s="129"/>
      <c r="D56" s="129"/>
      <c r="E56" s="129"/>
      <c r="F56" s="129"/>
      <c r="G56" s="129"/>
      <c r="H56" s="129"/>
      <c r="I56" s="129"/>
      <c r="J56" s="129"/>
      <c r="K56" s="129"/>
      <c r="L56" s="129"/>
      <c r="M56" s="129"/>
      <c r="N56" s="129"/>
      <c r="O56" s="104"/>
      <c r="P56" s="129"/>
      <c r="Q56" s="129"/>
      <c r="R56" s="129"/>
      <c r="S56" s="129"/>
      <c r="T56" s="129"/>
      <c r="U56" s="129"/>
      <c r="V56" s="129"/>
      <c r="W56" s="129"/>
      <c r="X56" s="129"/>
      <c r="Y56" s="129"/>
      <c r="Z56" s="129"/>
      <c r="AA56" s="129"/>
      <c r="AB56" s="129"/>
      <c r="AC56" s="129"/>
    </row>
    <row r="57" spans="1:29" x14ac:dyDescent="0.3">
      <c r="A57" s="129"/>
      <c r="B57" s="129"/>
      <c r="C57" s="129"/>
      <c r="D57" s="129"/>
      <c r="E57" s="129"/>
      <c r="F57" s="129"/>
      <c r="G57" s="129"/>
      <c r="H57" s="129"/>
      <c r="I57" s="129"/>
      <c r="J57" s="129"/>
      <c r="K57" s="129"/>
      <c r="L57" s="129"/>
      <c r="M57" s="129"/>
      <c r="N57" s="129"/>
      <c r="O57" s="104"/>
      <c r="P57" s="129"/>
      <c r="Q57" s="129"/>
      <c r="R57" s="129"/>
      <c r="S57" s="129"/>
      <c r="T57" s="129"/>
      <c r="U57" s="129"/>
      <c r="V57" s="129"/>
      <c r="W57" s="129"/>
      <c r="X57" s="129"/>
      <c r="Y57" s="129"/>
      <c r="Z57" s="129"/>
      <c r="AA57" s="129"/>
      <c r="AB57" s="129"/>
      <c r="AC57" s="129"/>
    </row>
    <row r="58" spans="1:29" x14ac:dyDescent="0.3">
      <c r="A58" s="129"/>
      <c r="B58" s="129"/>
      <c r="C58" s="129"/>
      <c r="D58" s="129"/>
      <c r="E58" s="129"/>
      <c r="F58" s="129"/>
      <c r="G58" s="129"/>
      <c r="H58" s="129"/>
      <c r="I58" s="129"/>
      <c r="J58" s="129"/>
      <c r="K58" s="129"/>
      <c r="L58" s="129"/>
      <c r="M58" s="129"/>
      <c r="N58" s="129"/>
      <c r="O58" s="104"/>
      <c r="P58" s="129"/>
      <c r="Q58" s="129"/>
      <c r="R58" s="129"/>
      <c r="S58" s="129"/>
      <c r="T58" s="129"/>
      <c r="U58" s="129"/>
      <c r="V58" s="129"/>
      <c r="W58" s="129"/>
      <c r="X58" s="129"/>
      <c r="Y58" s="129"/>
      <c r="Z58" s="129"/>
      <c r="AA58" s="129"/>
      <c r="AB58" s="129"/>
      <c r="AC58" s="129"/>
    </row>
    <row r="59" spans="1:29" x14ac:dyDescent="0.3">
      <c r="A59" s="129"/>
      <c r="B59" s="129"/>
      <c r="C59" s="129"/>
      <c r="D59" s="129"/>
      <c r="E59" s="129"/>
      <c r="F59" s="129"/>
      <c r="G59" s="129"/>
      <c r="H59" s="129"/>
      <c r="I59" s="129"/>
      <c r="J59" s="129"/>
      <c r="K59" s="129"/>
      <c r="L59" s="129"/>
      <c r="M59" s="129"/>
      <c r="N59" s="129"/>
      <c r="O59" s="104"/>
      <c r="P59" s="129"/>
      <c r="Q59" s="129"/>
      <c r="R59" s="129"/>
      <c r="S59" s="129"/>
      <c r="T59" s="129"/>
      <c r="U59" s="129"/>
      <c r="V59" s="129"/>
      <c r="W59" s="129"/>
      <c r="X59" s="129"/>
      <c r="Y59" s="129"/>
      <c r="Z59" s="129"/>
      <c r="AA59" s="129"/>
      <c r="AB59" s="129"/>
      <c r="AC59" s="129"/>
    </row>
    <row r="60" spans="1:29" x14ac:dyDescent="0.3">
      <c r="A60" s="129"/>
      <c r="B60" s="129"/>
      <c r="C60" s="129"/>
      <c r="D60" s="129"/>
      <c r="E60" s="129"/>
      <c r="F60" s="129"/>
      <c r="G60" s="129"/>
      <c r="H60" s="129"/>
      <c r="I60" s="129"/>
      <c r="J60" s="129"/>
      <c r="K60" s="129"/>
      <c r="L60" s="129"/>
      <c r="M60" s="129"/>
      <c r="N60" s="129"/>
      <c r="O60" s="104"/>
      <c r="P60" s="129"/>
      <c r="Q60" s="129"/>
      <c r="R60" s="129"/>
      <c r="S60" s="129"/>
      <c r="T60" s="129"/>
      <c r="U60" s="129"/>
      <c r="V60" s="129"/>
      <c r="W60" s="129"/>
      <c r="X60" s="129"/>
      <c r="Y60" s="129"/>
      <c r="Z60" s="129"/>
      <c r="AA60" s="129"/>
      <c r="AB60" s="129"/>
      <c r="AC60" s="129"/>
    </row>
    <row r="61" spans="1:29" x14ac:dyDescent="0.3">
      <c r="A61" s="129"/>
      <c r="B61" s="129"/>
      <c r="C61" s="129"/>
      <c r="D61" s="129"/>
      <c r="E61" s="129"/>
      <c r="F61" s="129"/>
      <c r="G61" s="129"/>
      <c r="H61" s="129"/>
      <c r="I61" s="129"/>
      <c r="J61" s="129"/>
      <c r="K61" s="129"/>
      <c r="L61" s="129"/>
      <c r="M61" s="129"/>
      <c r="N61" s="129"/>
      <c r="O61" s="104"/>
      <c r="P61" s="129"/>
      <c r="Q61" s="129"/>
      <c r="R61" s="129"/>
      <c r="S61" s="129"/>
      <c r="T61" s="129"/>
      <c r="U61" s="129"/>
      <c r="V61" s="129"/>
      <c r="W61" s="129"/>
      <c r="X61" s="129"/>
      <c r="Y61" s="129"/>
      <c r="Z61" s="129"/>
      <c r="AA61" s="129"/>
      <c r="AB61" s="129"/>
      <c r="AC61" s="129"/>
    </row>
    <row r="62" spans="1:29" x14ac:dyDescent="0.3">
      <c r="A62" s="129"/>
      <c r="B62" s="129"/>
      <c r="C62" s="129"/>
      <c r="D62" s="129"/>
      <c r="E62" s="129"/>
      <c r="F62" s="129"/>
      <c r="G62" s="129"/>
      <c r="H62" s="129"/>
      <c r="I62" s="129"/>
      <c r="J62" s="129"/>
      <c r="K62" s="129"/>
      <c r="L62" s="129"/>
      <c r="M62" s="129"/>
      <c r="N62" s="129"/>
      <c r="O62" s="104"/>
      <c r="P62" s="129"/>
      <c r="Q62" s="129"/>
      <c r="R62" s="129"/>
      <c r="S62" s="129"/>
      <c r="T62" s="129"/>
      <c r="U62" s="129"/>
      <c r="V62" s="129"/>
      <c r="W62" s="129"/>
      <c r="X62" s="129"/>
      <c r="Y62" s="129"/>
      <c r="Z62" s="129"/>
      <c r="AA62" s="129"/>
      <c r="AB62" s="129"/>
      <c r="AC62" s="129"/>
    </row>
    <row r="63" spans="1:29" x14ac:dyDescent="0.3">
      <c r="A63" s="129"/>
      <c r="B63" s="129"/>
      <c r="C63" s="129"/>
      <c r="D63" s="129"/>
      <c r="E63" s="129"/>
      <c r="F63" s="129"/>
      <c r="G63" s="129"/>
      <c r="H63" s="129"/>
      <c r="I63" s="129"/>
      <c r="J63" s="129"/>
      <c r="K63" s="129"/>
      <c r="L63" s="129"/>
      <c r="M63" s="129"/>
      <c r="N63" s="129"/>
      <c r="O63" s="104"/>
      <c r="P63" s="129"/>
      <c r="Q63" s="129"/>
      <c r="R63" s="129"/>
      <c r="S63" s="129"/>
      <c r="T63" s="129"/>
      <c r="U63" s="129"/>
      <c r="V63" s="129"/>
      <c r="W63" s="129"/>
      <c r="X63" s="129"/>
      <c r="Y63" s="129"/>
      <c r="Z63" s="129"/>
      <c r="AA63" s="129"/>
      <c r="AB63" s="129"/>
      <c r="AC63" s="129"/>
    </row>
    <row r="64" spans="1:29" x14ac:dyDescent="0.3">
      <c r="A64" s="129"/>
      <c r="B64" s="129"/>
      <c r="C64" s="129"/>
      <c r="D64" s="129"/>
      <c r="E64" s="129"/>
      <c r="F64" s="129"/>
      <c r="G64" s="129"/>
      <c r="H64" s="129"/>
      <c r="I64" s="129"/>
      <c r="J64" s="129"/>
      <c r="K64" s="129"/>
      <c r="L64" s="129"/>
      <c r="M64" s="129"/>
      <c r="N64" s="129"/>
      <c r="O64" s="104"/>
      <c r="P64" s="129"/>
      <c r="Q64" s="129"/>
      <c r="R64" s="129"/>
      <c r="S64" s="129"/>
      <c r="T64" s="129"/>
      <c r="U64" s="129"/>
      <c r="V64" s="129"/>
      <c r="W64" s="129"/>
      <c r="X64" s="129"/>
      <c r="Y64" s="129"/>
      <c r="Z64" s="129"/>
      <c r="AA64" s="129"/>
      <c r="AB64" s="129"/>
      <c r="AC64" s="129"/>
    </row>
    <row r="65" spans="1:29" x14ac:dyDescent="0.3">
      <c r="A65" s="129"/>
      <c r="B65" s="129"/>
      <c r="C65" s="129"/>
      <c r="D65" s="129"/>
      <c r="E65" s="129"/>
      <c r="F65" s="129"/>
      <c r="G65" s="129"/>
      <c r="H65" s="129"/>
      <c r="I65" s="129"/>
      <c r="J65" s="129"/>
      <c r="K65" s="129"/>
      <c r="L65" s="129"/>
      <c r="M65" s="129"/>
      <c r="N65" s="129"/>
      <c r="O65" s="104"/>
      <c r="P65" s="129"/>
      <c r="Q65" s="129"/>
      <c r="R65" s="129"/>
      <c r="S65" s="129"/>
      <c r="T65" s="129"/>
      <c r="U65" s="129"/>
      <c r="V65" s="129"/>
      <c r="W65" s="129"/>
      <c r="X65" s="129"/>
      <c r="Y65" s="129"/>
      <c r="Z65" s="129"/>
      <c r="AA65" s="129"/>
      <c r="AB65" s="129"/>
      <c r="AC65" s="129"/>
    </row>
    <row r="66" spans="1:29" x14ac:dyDescent="0.3">
      <c r="A66" s="129"/>
      <c r="B66" s="129"/>
      <c r="C66" s="129"/>
      <c r="D66" s="129"/>
      <c r="E66" s="129"/>
      <c r="F66" s="129"/>
      <c r="G66" s="129"/>
      <c r="H66" s="129"/>
      <c r="I66" s="129"/>
      <c r="J66" s="129"/>
      <c r="K66" s="129"/>
      <c r="L66" s="129"/>
      <c r="M66" s="129"/>
      <c r="N66" s="129"/>
      <c r="O66" s="104"/>
      <c r="P66" s="129"/>
      <c r="Q66" s="129"/>
      <c r="R66" s="129"/>
      <c r="S66" s="129"/>
      <c r="T66" s="129"/>
      <c r="U66" s="129"/>
      <c r="V66" s="129"/>
      <c r="W66" s="129"/>
      <c r="X66" s="129"/>
      <c r="Y66" s="129"/>
      <c r="Z66" s="129"/>
      <c r="AA66" s="129"/>
      <c r="AB66" s="129"/>
      <c r="AC66" s="129"/>
    </row>
    <row r="67" spans="1:29" x14ac:dyDescent="0.3">
      <c r="A67" s="129"/>
      <c r="B67" s="129"/>
      <c r="C67" s="129"/>
      <c r="D67" s="129"/>
      <c r="E67" s="129"/>
      <c r="F67" s="129"/>
      <c r="G67" s="129"/>
      <c r="H67" s="129"/>
      <c r="I67" s="129"/>
      <c r="J67" s="129"/>
      <c r="K67" s="129"/>
      <c r="L67" s="129"/>
      <c r="M67" s="129"/>
      <c r="N67" s="129"/>
      <c r="O67" s="104"/>
      <c r="P67" s="129"/>
      <c r="Q67" s="129"/>
      <c r="R67" s="129"/>
      <c r="S67" s="129"/>
      <c r="T67" s="129"/>
      <c r="U67" s="129"/>
      <c r="V67" s="129"/>
      <c r="W67" s="129"/>
      <c r="X67" s="129"/>
      <c r="Y67" s="129"/>
      <c r="Z67" s="129"/>
      <c r="AA67" s="129"/>
      <c r="AB67" s="129"/>
      <c r="AC67" s="129"/>
    </row>
    <row r="68" spans="1:29" x14ac:dyDescent="0.3">
      <c r="A68" s="129"/>
      <c r="B68" s="129"/>
      <c r="C68" s="129"/>
      <c r="D68" s="129"/>
      <c r="E68" s="129"/>
      <c r="F68" s="129"/>
      <c r="G68" s="129"/>
      <c r="H68" s="129"/>
      <c r="I68" s="129"/>
      <c r="J68" s="129"/>
      <c r="K68" s="129"/>
      <c r="L68" s="129"/>
      <c r="M68" s="129"/>
      <c r="N68" s="129"/>
      <c r="O68" s="104"/>
      <c r="P68" s="129"/>
      <c r="Q68" s="129"/>
      <c r="R68" s="129"/>
      <c r="S68" s="129"/>
      <c r="T68" s="129"/>
      <c r="U68" s="129"/>
      <c r="V68" s="129"/>
      <c r="W68" s="129"/>
      <c r="X68" s="129"/>
      <c r="Y68" s="129"/>
      <c r="Z68" s="129"/>
      <c r="AA68" s="129"/>
      <c r="AB68" s="129"/>
      <c r="AC68" s="129"/>
    </row>
    <row r="69" spans="1:29" x14ac:dyDescent="0.3">
      <c r="A69" s="129"/>
      <c r="B69" s="129"/>
      <c r="C69" s="129"/>
      <c r="D69" s="129"/>
      <c r="E69" s="129"/>
      <c r="F69" s="129"/>
      <c r="G69" s="129"/>
      <c r="H69" s="129"/>
      <c r="I69" s="129"/>
      <c r="J69" s="129"/>
      <c r="K69" s="129"/>
      <c r="L69" s="129"/>
      <c r="M69" s="129"/>
      <c r="N69" s="129"/>
      <c r="O69" s="104"/>
      <c r="P69" s="129"/>
      <c r="Q69" s="129"/>
      <c r="R69" s="129"/>
      <c r="S69" s="129"/>
      <c r="T69" s="129"/>
      <c r="U69" s="129"/>
      <c r="V69" s="129"/>
      <c r="W69" s="129"/>
      <c r="X69" s="129"/>
      <c r="Y69" s="129"/>
      <c r="Z69" s="129"/>
      <c r="AA69" s="129"/>
      <c r="AB69" s="129"/>
      <c r="AC69" s="129"/>
    </row>
    <row r="70" spans="1:29" x14ac:dyDescent="0.3">
      <c r="A70" s="129"/>
      <c r="B70" s="129"/>
      <c r="C70" s="129"/>
      <c r="D70" s="129"/>
      <c r="E70" s="129"/>
      <c r="F70" s="129"/>
      <c r="G70" s="129"/>
      <c r="H70" s="129"/>
      <c r="I70" s="129"/>
      <c r="J70" s="129"/>
      <c r="K70" s="129"/>
      <c r="L70" s="129"/>
      <c r="M70" s="129"/>
      <c r="N70" s="129"/>
      <c r="O70" s="104"/>
      <c r="P70" s="129"/>
      <c r="Q70" s="129"/>
      <c r="R70" s="129"/>
      <c r="S70" s="129"/>
      <c r="T70" s="129"/>
      <c r="U70" s="129"/>
      <c r="V70" s="129"/>
      <c r="W70" s="129"/>
      <c r="X70" s="129"/>
      <c r="Y70" s="129"/>
      <c r="Z70" s="129"/>
      <c r="AA70" s="129"/>
      <c r="AB70" s="129"/>
      <c r="AC70" s="129"/>
    </row>
    <row r="71" spans="1:29" x14ac:dyDescent="0.3">
      <c r="A71" s="129"/>
      <c r="B71" s="129"/>
      <c r="C71" s="129"/>
      <c r="D71" s="129"/>
      <c r="E71" s="129"/>
      <c r="F71" s="129"/>
      <c r="G71" s="129"/>
      <c r="H71" s="129"/>
      <c r="I71" s="129"/>
      <c r="J71" s="129"/>
      <c r="K71" s="129"/>
      <c r="L71" s="129"/>
      <c r="M71" s="129"/>
      <c r="N71" s="129"/>
      <c r="O71" s="104"/>
      <c r="P71" s="129"/>
      <c r="Q71" s="129"/>
      <c r="R71" s="129"/>
      <c r="S71" s="129"/>
      <c r="T71" s="129"/>
      <c r="U71" s="129"/>
      <c r="V71" s="129"/>
      <c r="W71" s="129"/>
      <c r="X71" s="129"/>
      <c r="Y71" s="129"/>
      <c r="Z71" s="129"/>
      <c r="AA71" s="129"/>
      <c r="AB71" s="129"/>
      <c r="AC71" s="129"/>
    </row>
    <row r="72" spans="1:29" x14ac:dyDescent="0.3">
      <c r="A72" s="129"/>
      <c r="B72" s="129"/>
      <c r="C72" s="129"/>
      <c r="D72" s="129"/>
      <c r="E72" s="129"/>
      <c r="F72" s="129"/>
      <c r="G72" s="129"/>
      <c r="H72" s="129"/>
      <c r="I72" s="129"/>
      <c r="J72" s="129"/>
      <c r="K72" s="129"/>
      <c r="L72" s="129"/>
      <c r="M72" s="129"/>
      <c r="N72" s="129"/>
      <c r="O72" s="104"/>
      <c r="P72" s="129"/>
      <c r="Q72" s="129"/>
      <c r="R72" s="129"/>
      <c r="S72" s="129"/>
      <c r="T72" s="129"/>
      <c r="U72" s="129"/>
      <c r="V72" s="129"/>
      <c r="W72" s="129"/>
      <c r="X72" s="129"/>
      <c r="Y72" s="129"/>
      <c r="Z72" s="129"/>
      <c r="AA72" s="129"/>
      <c r="AB72" s="129"/>
      <c r="AC72" s="129"/>
    </row>
    <row r="73" spans="1:29" x14ac:dyDescent="0.3">
      <c r="A73" s="129"/>
      <c r="B73" s="129"/>
      <c r="C73" s="129"/>
      <c r="D73" s="129"/>
      <c r="E73" s="129"/>
      <c r="F73" s="129"/>
      <c r="G73" s="129"/>
      <c r="H73" s="129"/>
      <c r="I73" s="129"/>
      <c r="J73" s="129"/>
      <c r="K73" s="129"/>
      <c r="L73" s="129"/>
      <c r="M73" s="129"/>
      <c r="N73" s="129"/>
      <c r="O73" s="104"/>
      <c r="P73" s="129"/>
      <c r="Q73" s="129"/>
      <c r="R73" s="129"/>
      <c r="S73" s="129"/>
      <c r="T73" s="129"/>
      <c r="U73" s="129"/>
      <c r="V73" s="129"/>
      <c r="W73" s="129"/>
      <c r="X73" s="129"/>
      <c r="Y73" s="129"/>
      <c r="Z73" s="129"/>
      <c r="AA73" s="129"/>
      <c r="AB73" s="129"/>
      <c r="AC73" s="129"/>
    </row>
    <row r="74" spans="1:29" x14ac:dyDescent="0.3">
      <c r="A74" s="129"/>
      <c r="B74" s="129"/>
      <c r="C74" s="129"/>
      <c r="D74" s="129"/>
      <c r="E74" s="129"/>
      <c r="F74" s="129"/>
      <c r="G74" s="129"/>
      <c r="H74" s="129"/>
      <c r="I74" s="129"/>
      <c r="J74" s="129"/>
      <c r="K74" s="129"/>
      <c r="L74" s="129"/>
      <c r="M74" s="129"/>
      <c r="N74" s="129"/>
      <c r="O74" s="104"/>
      <c r="P74" s="129"/>
      <c r="Q74" s="129"/>
      <c r="R74" s="129"/>
      <c r="S74" s="129"/>
      <c r="T74" s="129"/>
      <c r="U74" s="129"/>
      <c r="V74" s="129"/>
      <c r="W74" s="129"/>
      <c r="X74" s="129"/>
      <c r="Y74" s="129"/>
      <c r="Z74" s="129"/>
      <c r="AA74" s="129"/>
      <c r="AB74" s="129"/>
      <c r="AC74" s="129"/>
    </row>
    <row r="75" spans="1:29" x14ac:dyDescent="0.3">
      <c r="A75" s="129"/>
      <c r="B75" s="129"/>
      <c r="C75" s="129"/>
      <c r="D75" s="129"/>
      <c r="E75" s="129"/>
      <c r="F75" s="129"/>
      <c r="G75" s="129"/>
      <c r="H75" s="129"/>
      <c r="I75" s="129"/>
      <c r="J75" s="129"/>
      <c r="K75" s="129"/>
      <c r="L75" s="129"/>
      <c r="M75" s="129"/>
      <c r="N75" s="129"/>
      <c r="O75" s="104"/>
      <c r="P75" s="129"/>
      <c r="Q75" s="129"/>
      <c r="R75" s="129"/>
      <c r="S75" s="129"/>
      <c r="T75" s="129"/>
      <c r="U75" s="129"/>
      <c r="V75" s="129"/>
      <c r="W75" s="129"/>
      <c r="X75" s="129"/>
      <c r="Y75" s="129"/>
      <c r="Z75" s="129"/>
      <c r="AA75" s="129"/>
      <c r="AB75" s="129"/>
      <c r="AC75" s="129"/>
    </row>
    <row r="76" spans="1:29" x14ac:dyDescent="0.3">
      <c r="A76" s="129"/>
      <c r="B76" s="129"/>
      <c r="C76" s="129"/>
      <c r="D76" s="129"/>
      <c r="E76" s="129"/>
      <c r="F76" s="129"/>
      <c r="G76" s="129"/>
      <c r="H76" s="129"/>
      <c r="I76" s="129"/>
      <c r="J76" s="129"/>
      <c r="K76" s="129"/>
      <c r="L76" s="129"/>
      <c r="M76" s="129"/>
      <c r="N76" s="129"/>
      <c r="O76" s="104"/>
      <c r="P76" s="129"/>
      <c r="Q76" s="129"/>
      <c r="R76" s="129"/>
      <c r="S76" s="129"/>
      <c r="T76" s="129"/>
      <c r="U76" s="129"/>
      <c r="V76" s="129"/>
      <c r="W76" s="129"/>
      <c r="X76" s="129"/>
      <c r="Y76" s="129"/>
      <c r="Z76" s="129"/>
      <c r="AA76" s="129"/>
      <c r="AB76" s="129"/>
      <c r="AC76" s="129"/>
    </row>
    <row r="77" spans="1:29" x14ac:dyDescent="0.3">
      <c r="A77" s="129"/>
      <c r="B77" s="129"/>
      <c r="C77" s="129"/>
      <c r="D77" s="129"/>
      <c r="E77" s="129"/>
      <c r="F77" s="129"/>
      <c r="G77" s="129"/>
      <c r="H77" s="129"/>
      <c r="I77" s="129"/>
      <c r="J77" s="129"/>
      <c r="K77" s="129"/>
      <c r="L77" s="129"/>
      <c r="M77" s="129"/>
      <c r="N77" s="129"/>
      <c r="O77" s="104"/>
      <c r="P77" s="129"/>
      <c r="Q77" s="129"/>
      <c r="R77" s="129"/>
      <c r="S77" s="129"/>
      <c r="T77" s="129"/>
      <c r="U77" s="129"/>
      <c r="V77" s="129"/>
      <c r="W77" s="129"/>
      <c r="X77" s="129"/>
      <c r="Y77" s="129"/>
      <c r="Z77" s="129"/>
      <c r="AA77" s="129"/>
      <c r="AB77" s="129"/>
      <c r="AC77" s="129"/>
    </row>
    <row r="78" spans="1:29" x14ac:dyDescent="0.3">
      <c r="A78" s="129"/>
      <c r="B78" s="129"/>
      <c r="C78" s="129"/>
      <c r="D78" s="129"/>
      <c r="E78" s="129"/>
      <c r="F78" s="129"/>
      <c r="G78" s="129"/>
      <c r="H78" s="129"/>
      <c r="I78" s="129"/>
      <c r="J78" s="129"/>
      <c r="K78" s="129"/>
      <c r="L78" s="129"/>
      <c r="M78" s="129"/>
      <c r="N78" s="129"/>
      <c r="O78" s="104"/>
      <c r="P78" s="129"/>
      <c r="Q78" s="129"/>
      <c r="R78" s="129"/>
      <c r="S78" s="129"/>
      <c r="T78" s="129"/>
      <c r="U78" s="129"/>
      <c r="V78" s="129"/>
      <c r="W78" s="129"/>
      <c r="X78" s="129"/>
      <c r="Y78" s="129"/>
      <c r="Z78" s="129"/>
      <c r="AA78" s="129"/>
      <c r="AB78" s="129"/>
      <c r="AC78" s="129"/>
    </row>
    <row r="79" spans="1:29" x14ac:dyDescent="0.3">
      <c r="A79" s="129"/>
      <c r="B79" s="129"/>
      <c r="C79" s="129"/>
      <c r="D79" s="129"/>
      <c r="E79" s="129"/>
      <c r="F79" s="129"/>
      <c r="G79" s="129"/>
      <c r="H79" s="129"/>
      <c r="I79" s="129"/>
      <c r="J79" s="129"/>
      <c r="K79" s="129"/>
      <c r="L79" s="129"/>
      <c r="M79" s="129"/>
      <c r="N79" s="129"/>
      <c r="O79" s="104"/>
      <c r="P79" s="129"/>
      <c r="Q79" s="129"/>
      <c r="R79" s="129"/>
      <c r="S79" s="129"/>
      <c r="T79" s="129"/>
      <c r="U79" s="129"/>
      <c r="V79" s="129"/>
      <c r="W79" s="129"/>
      <c r="X79" s="129"/>
      <c r="Y79" s="129"/>
      <c r="Z79" s="129"/>
      <c r="AA79" s="129"/>
      <c r="AB79" s="129"/>
      <c r="AC79" s="129"/>
    </row>
    <row r="80" spans="1:29" x14ac:dyDescent="0.3">
      <c r="A80" s="129"/>
      <c r="B80" s="129"/>
      <c r="C80" s="129"/>
      <c r="D80" s="129"/>
      <c r="E80" s="129"/>
      <c r="F80" s="129"/>
      <c r="G80" s="129"/>
      <c r="H80" s="129"/>
      <c r="I80" s="129"/>
      <c r="J80" s="129"/>
      <c r="K80" s="129"/>
      <c r="L80" s="129"/>
      <c r="M80" s="129"/>
      <c r="N80" s="129"/>
      <c r="O80" s="104"/>
      <c r="P80" s="129"/>
      <c r="Q80" s="129"/>
      <c r="R80" s="129"/>
      <c r="S80" s="129"/>
      <c r="T80" s="129"/>
      <c r="U80" s="129"/>
      <c r="V80" s="129"/>
      <c r="W80" s="129"/>
      <c r="X80" s="129"/>
      <c r="Y80" s="129"/>
      <c r="Z80" s="129"/>
      <c r="AA80" s="129"/>
      <c r="AB80" s="129"/>
      <c r="AC80" s="129"/>
    </row>
    <row r="81" spans="1:29" x14ac:dyDescent="0.3">
      <c r="A81" s="129"/>
      <c r="B81" s="129"/>
      <c r="C81" s="129"/>
      <c r="D81" s="129"/>
      <c r="E81" s="129"/>
      <c r="F81" s="129"/>
      <c r="G81" s="129"/>
      <c r="H81" s="129"/>
      <c r="I81" s="129"/>
      <c r="J81" s="129"/>
      <c r="K81" s="129"/>
      <c r="L81" s="129"/>
      <c r="M81" s="129"/>
      <c r="N81" s="129"/>
      <c r="O81" s="104"/>
      <c r="P81" s="129"/>
      <c r="Q81" s="129"/>
      <c r="R81" s="129"/>
      <c r="S81" s="129"/>
      <c r="T81" s="129"/>
      <c r="U81" s="129"/>
      <c r="V81" s="129"/>
      <c r="W81" s="129"/>
      <c r="X81" s="129"/>
      <c r="Y81" s="129"/>
      <c r="Z81" s="129"/>
      <c r="AA81" s="129"/>
      <c r="AB81" s="129"/>
      <c r="AC81" s="129"/>
    </row>
    <row r="82" spans="1:29" x14ac:dyDescent="0.3">
      <c r="A82" s="129"/>
      <c r="B82" s="129"/>
      <c r="C82" s="129"/>
      <c r="D82" s="129"/>
      <c r="E82" s="129"/>
      <c r="F82" s="129"/>
      <c r="G82" s="129"/>
      <c r="H82" s="129"/>
      <c r="I82" s="129"/>
      <c r="J82" s="129"/>
      <c r="K82" s="129"/>
      <c r="L82" s="129"/>
      <c r="M82" s="129"/>
      <c r="N82" s="129"/>
      <c r="O82" s="104"/>
      <c r="P82" s="129"/>
      <c r="Q82" s="129"/>
      <c r="R82" s="129"/>
      <c r="S82" s="129"/>
      <c r="T82" s="129"/>
      <c r="U82" s="129"/>
      <c r="V82" s="129"/>
      <c r="W82" s="129"/>
      <c r="X82" s="129"/>
      <c r="Y82" s="129"/>
      <c r="Z82" s="129"/>
      <c r="AA82" s="129"/>
      <c r="AB82" s="129"/>
      <c r="AC82" s="129"/>
    </row>
    <row r="83" spans="1:29" x14ac:dyDescent="0.3">
      <c r="A83" s="129"/>
      <c r="B83" s="129"/>
      <c r="C83" s="129"/>
      <c r="D83" s="129"/>
      <c r="E83" s="129"/>
      <c r="F83" s="129"/>
      <c r="G83" s="129"/>
      <c r="H83" s="129"/>
      <c r="I83" s="129"/>
      <c r="J83" s="129"/>
      <c r="K83" s="129"/>
      <c r="L83" s="129"/>
      <c r="M83" s="129"/>
      <c r="N83" s="129"/>
      <c r="O83" s="104"/>
      <c r="P83" s="129"/>
      <c r="Q83" s="129"/>
      <c r="R83" s="129"/>
      <c r="S83" s="129"/>
      <c r="T83" s="129"/>
      <c r="U83" s="129"/>
      <c r="V83" s="129"/>
      <c r="W83" s="129"/>
      <c r="X83" s="129"/>
      <c r="Y83" s="129"/>
      <c r="Z83" s="129"/>
      <c r="AA83" s="129"/>
      <c r="AB83" s="129"/>
      <c r="AC83" s="129"/>
    </row>
    <row r="84" spans="1:29" x14ac:dyDescent="0.3">
      <c r="A84" s="129"/>
      <c r="B84" s="129"/>
      <c r="C84" s="129"/>
      <c r="D84" s="129"/>
      <c r="E84" s="129"/>
      <c r="F84" s="129"/>
      <c r="G84" s="129"/>
      <c r="H84" s="129"/>
      <c r="I84" s="129"/>
      <c r="J84" s="129"/>
      <c r="K84" s="129"/>
      <c r="L84" s="129"/>
      <c r="M84" s="129"/>
      <c r="N84" s="129"/>
      <c r="O84" s="104"/>
      <c r="P84" s="129"/>
      <c r="Q84" s="129"/>
      <c r="R84" s="129"/>
      <c r="S84" s="129"/>
      <c r="T84" s="129"/>
      <c r="U84" s="129"/>
      <c r="V84" s="129"/>
      <c r="W84" s="129"/>
      <c r="X84" s="129"/>
      <c r="Y84" s="129"/>
      <c r="Z84" s="129"/>
      <c r="AA84" s="129"/>
      <c r="AB84" s="129"/>
      <c r="AC84" s="129"/>
    </row>
    <row r="85" spans="1:29" x14ac:dyDescent="0.3">
      <c r="A85" s="129"/>
      <c r="B85" s="129"/>
      <c r="C85" s="129"/>
      <c r="D85" s="129"/>
      <c r="E85" s="129"/>
      <c r="F85" s="129"/>
      <c r="G85" s="129"/>
      <c r="H85" s="129"/>
      <c r="I85" s="129"/>
      <c r="J85" s="129"/>
      <c r="K85" s="129"/>
      <c r="L85" s="129"/>
      <c r="M85" s="129"/>
      <c r="N85" s="129"/>
      <c r="O85" s="104"/>
      <c r="P85" s="129"/>
      <c r="Q85" s="129"/>
      <c r="R85" s="129"/>
      <c r="S85" s="129"/>
      <c r="T85" s="129"/>
      <c r="U85" s="129"/>
      <c r="V85" s="129"/>
      <c r="W85" s="129"/>
      <c r="X85" s="129"/>
      <c r="Y85" s="129"/>
      <c r="Z85" s="129"/>
      <c r="AA85" s="129"/>
      <c r="AB85" s="129"/>
      <c r="AC85" s="129"/>
    </row>
    <row r="86" spans="1:29" x14ac:dyDescent="0.3">
      <c r="A86" s="129"/>
      <c r="B86" s="129"/>
      <c r="C86" s="129"/>
      <c r="D86" s="129"/>
      <c r="E86" s="129"/>
      <c r="F86" s="129"/>
      <c r="G86" s="129"/>
      <c r="H86" s="129"/>
      <c r="I86" s="129"/>
      <c r="J86" s="129"/>
      <c r="K86" s="129"/>
      <c r="L86" s="129"/>
      <c r="M86" s="129"/>
      <c r="N86" s="129"/>
      <c r="O86" s="104"/>
      <c r="P86" s="129"/>
      <c r="Q86" s="129"/>
      <c r="R86" s="129"/>
      <c r="S86" s="129"/>
      <c r="T86" s="129"/>
      <c r="U86" s="129"/>
      <c r="V86" s="129"/>
      <c r="W86" s="129"/>
      <c r="X86" s="129"/>
      <c r="Y86" s="129"/>
      <c r="Z86" s="129"/>
      <c r="AA86" s="129"/>
      <c r="AB86" s="129"/>
      <c r="AC86" s="129"/>
    </row>
    <row r="87" spans="1:29" x14ac:dyDescent="0.3">
      <c r="A87" s="129"/>
      <c r="B87" s="129"/>
      <c r="C87" s="129"/>
      <c r="D87" s="129"/>
      <c r="E87" s="129"/>
      <c r="F87" s="129"/>
      <c r="G87" s="129"/>
      <c r="H87" s="129"/>
      <c r="I87" s="129"/>
      <c r="J87" s="129"/>
      <c r="K87" s="129"/>
      <c r="L87" s="129"/>
      <c r="M87" s="129"/>
      <c r="N87" s="129"/>
      <c r="O87" s="104"/>
      <c r="P87" s="129"/>
      <c r="Q87" s="129"/>
      <c r="R87" s="129"/>
      <c r="S87" s="129"/>
      <c r="T87" s="129"/>
      <c r="U87" s="129"/>
      <c r="V87" s="129"/>
      <c r="W87" s="129"/>
      <c r="X87" s="129"/>
      <c r="Y87" s="129"/>
      <c r="Z87" s="129"/>
      <c r="AA87" s="129"/>
      <c r="AB87" s="129"/>
      <c r="AC87" s="129"/>
    </row>
    <row r="88" spans="1:29" x14ac:dyDescent="0.3">
      <c r="A88" s="129"/>
      <c r="B88" s="129"/>
      <c r="C88" s="129"/>
      <c r="D88" s="129"/>
      <c r="E88" s="129"/>
      <c r="F88" s="129"/>
      <c r="G88" s="129"/>
      <c r="H88" s="129"/>
      <c r="I88" s="129"/>
      <c r="J88" s="129"/>
      <c r="K88" s="129"/>
      <c r="L88" s="129"/>
      <c r="M88" s="129"/>
      <c r="N88" s="129"/>
      <c r="O88" s="104"/>
      <c r="P88" s="129"/>
      <c r="Q88" s="129"/>
      <c r="R88" s="129"/>
      <c r="S88" s="129"/>
      <c r="T88" s="129"/>
      <c r="U88" s="129"/>
      <c r="V88" s="129"/>
      <c r="W88" s="129"/>
      <c r="X88" s="129"/>
      <c r="Y88" s="129"/>
      <c r="Z88" s="129"/>
      <c r="AA88" s="129"/>
      <c r="AB88" s="129"/>
      <c r="AC88" s="129"/>
    </row>
    <row r="89" spans="1:29" x14ac:dyDescent="0.3">
      <c r="A89" s="129"/>
      <c r="B89" s="129"/>
      <c r="C89" s="129"/>
      <c r="D89" s="129"/>
      <c r="E89" s="129"/>
      <c r="F89" s="129"/>
      <c r="G89" s="129"/>
      <c r="H89" s="129"/>
      <c r="I89" s="129"/>
      <c r="J89" s="129"/>
      <c r="K89" s="129"/>
      <c r="L89" s="129"/>
      <c r="M89" s="129"/>
      <c r="N89" s="129"/>
      <c r="O89" s="104"/>
      <c r="P89" s="129"/>
      <c r="Q89" s="129"/>
      <c r="R89" s="129"/>
      <c r="S89" s="129"/>
      <c r="T89" s="129"/>
      <c r="U89" s="129"/>
      <c r="V89" s="129"/>
      <c r="W89" s="129"/>
      <c r="X89" s="129"/>
      <c r="Y89" s="129"/>
      <c r="Z89" s="129"/>
      <c r="AA89" s="129"/>
      <c r="AB89" s="129"/>
      <c r="AC89" s="129"/>
    </row>
    <row r="90" spans="1:29" x14ac:dyDescent="0.3">
      <c r="A90" s="129"/>
      <c r="B90" s="129"/>
      <c r="C90" s="129"/>
      <c r="D90" s="129"/>
      <c r="E90" s="129"/>
      <c r="F90" s="129"/>
      <c r="G90" s="129"/>
      <c r="H90" s="129"/>
      <c r="I90" s="129"/>
      <c r="J90" s="129"/>
      <c r="K90" s="129"/>
      <c r="L90" s="129"/>
      <c r="M90" s="129"/>
      <c r="N90" s="129"/>
      <c r="O90" s="104"/>
      <c r="P90" s="129"/>
      <c r="Q90" s="129"/>
      <c r="R90" s="129"/>
      <c r="S90" s="129"/>
      <c r="T90" s="129"/>
      <c r="U90" s="129"/>
      <c r="V90" s="129"/>
      <c r="W90" s="129"/>
      <c r="X90" s="129"/>
      <c r="Y90" s="129"/>
      <c r="Z90" s="129"/>
      <c r="AA90" s="129"/>
      <c r="AB90" s="129"/>
      <c r="AC90" s="129"/>
    </row>
    <row r="91" spans="1:29" x14ac:dyDescent="0.3">
      <c r="A91" s="129"/>
      <c r="B91" s="129"/>
      <c r="C91" s="129"/>
      <c r="D91" s="129"/>
      <c r="E91" s="129"/>
      <c r="F91" s="129"/>
      <c r="G91" s="129"/>
      <c r="H91" s="129"/>
      <c r="I91" s="129"/>
      <c r="J91" s="129"/>
      <c r="K91" s="129"/>
      <c r="L91" s="129"/>
      <c r="M91" s="129"/>
      <c r="N91" s="129"/>
      <c r="O91" s="104"/>
      <c r="P91" s="129"/>
      <c r="Q91" s="129"/>
      <c r="R91" s="129"/>
      <c r="S91" s="129"/>
      <c r="T91" s="129"/>
      <c r="U91" s="129"/>
      <c r="V91" s="129"/>
      <c r="W91" s="129"/>
      <c r="X91" s="129"/>
      <c r="Y91" s="129"/>
      <c r="Z91" s="129"/>
      <c r="AA91" s="129"/>
      <c r="AB91" s="129"/>
      <c r="AC91" s="129"/>
    </row>
    <row r="92" spans="1:29" x14ac:dyDescent="0.3">
      <c r="A92" s="129"/>
      <c r="B92" s="129"/>
      <c r="C92" s="129"/>
      <c r="D92" s="129"/>
      <c r="E92" s="129"/>
      <c r="F92" s="129"/>
      <c r="G92" s="129"/>
      <c r="H92" s="129"/>
      <c r="I92" s="129"/>
      <c r="J92" s="129"/>
      <c r="K92" s="129"/>
      <c r="L92" s="129"/>
      <c r="M92" s="129"/>
      <c r="N92" s="129"/>
      <c r="O92" s="104"/>
      <c r="P92" s="129"/>
      <c r="Q92" s="129"/>
      <c r="R92" s="129"/>
      <c r="S92" s="129"/>
      <c r="T92" s="129"/>
      <c r="U92" s="129"/>
      <c r="V92" s="129"/>
      <c r="W92" s="129"/>
      <c r="X92" s="129"/>
      <c r="Y92" s="129"/>
      <c r="Z92" s="129"/>
      <c r="AA92" s="129"/>
      <c r="AB92" s="129"/>
      <c r="AC92" s="129"/>
    </row>
    <row r="93" spans="1:29" x14ac:dyDescent="0.3">
      <c r="A93" s="129"/>
      <c r="B93" s="129"/>
      <c r="C93" s="129"/>
      <c r="D93" s="129"/>
      <c r="E93" s="129"/>
      <c r="F93" s="129"/>
      <c r="G93" s="129"/>
      <c r="H93" s="129"/>
      <c r="I93" s="129"/>
      <c r="J93" s="129"/>
      <c r="K93" s="129"/>
      <c r="L93" s="129"/>
      <c r="M93" s="129"/>
      <c r="N93" s="129"/>
      <c r="O93" s="104"/>
      <c r="P93" s="129"/>
      <c r="Q93" s="129"/>
      <c r="R93" s="129"/>
      <c r="S93" s="129"/>
      <c r="T93" s="129"/>
      <c r="U93" s="129"/>
      <c r="V93" s="129"/>
      <c r="W93" s="129"/>
      <c r="X93" s="129"/>
      <c r="Y93" s="129"/>
      <c r="Z93" s="129"/>
      <c r="AA93" s="129"/>
      <c r="AB93" s="129"/>
      <c r="AC93" s="129"/>
    </row>
  </sheetData>
  <hyperlinks>
    <hyperlink ref="B9" r:id="rId1" xr:uid="{80CCF4BC-9225-45A4-85CD-BC62C4E55DF9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5">
    <tabColor theme="0" tint="-0.14999847407452621"/>
  </sheetPr>
  <dimension ref="A1:E29"/>
  <sheetViews>
    <sheetView workbookViewId="0">
      <selection activeCell="B27" sqref="B27"/>
    </sheetView>
  </sheetViews>
  <sheetFormatPr defaultRowHeight="14.4" x14ac:dyDescent="0.3"/>
  <cols>
    <col min="1" max="1" width="36.6640625" style="133" bestFit="1" customWidth="1"/>
    <col min="2" max="2" width="16.21875" style="133" customWidth="1"/>
    <col min="3" max="3" width="15" style="133" customWidth="1"/>
    <col min="4" max="4" width="15.21875" style="133" customWidth="1"/>
    <col min="5" max="5" width="25.44140625" style="133" bestFit="1" customWidth="1"/>
    <col min="6" max="16384" width="8.88671875" style="133"/>
  </cols>
  <sheetData>
    <row r="1" spans="1:5" s="137" customFormat="1" ht="25.8" x14ac:dyDescent="0.5">
      <c r="A1" s="118" t="s">
        <v>87</v>
      </c>
      <c r="B1" s="118"/>
      <c r="C1" s="118"/>
      <c r="D1" s="118"/>
      <c r="E1" s="118"/>
    </row>
    <row r="3" spans="1:5" s="138" customFormat="1" ht="18" x14ac:dyDescent="0.35">
      <c r="A3" s="117" t="s">
        <v>1053</v>
      </c>
      <c r="B3" s="117" t="s">
        <v>88</v>
      </c>
      <c r="C3" s="117"/>
      <c r="D3" s="117"/>
      <c r="E3" s="117"/>
    </row>
    <row r="4" spans="1:5" x14ac:dyDescent="0.3">
      <c r="A4" t="s">
        <v>1055</v>
      </c>
      <c r="B4" s="1" t="s">
        <v>89</v>
      </c>
      <c r="C4" s="1" t="s">
        <v>90</v>
      </c>
      <c r="D4" s="1" t="s">
        <v>91</v>
      </c>
      <c r="E4" s="1" t="s">
        <v>92</v>
      </c>
    </row>
    <row r="5" spans="1:5" x14ac:dyDescent="0.3">
      <c r="A5" s="1" t="s">
        <v>28</v>
      </c>
      <c r="B5">
        <v>5.4440000000000002E-2</v>
      </c>
      <c r="C5">
        <v>1.0300000000000001E-3</v>
      </c>
      <c r="D5">
        <v>1E-4</v>
      </c>
      <c r="E5" s="5">
        <f>((B5*kg_to_MT)+(C5*g_to_MT*CH4_GWP)+(D5*g_to_MT*N2O_GWP))*s_to_C</f>
        <v>5.4495339999999998E-3</v>
      </c>
    </row>
    <row r="6" spans="1:5" x14ac:dyDescent="0.3">
      <c r="A6" s="1" t="s">
        <v>93</v>
      </c>
      <c r="B6">
        <v>0.15462999999999999</v>
      </c>
      <c r="C6">
        <v>7.548E-3</v>
      </c>
      <c r="D6">
        <v>1.5100000000000001E-3</v>
      </c>
      <c r="E6" s="5">
        <f>((B6*kg_to_MT)+(C6*g_to_MT*CH4_GWP)+(D6*g_to_MT*N2O_GWP))*s_to_C</f>
        <v>1.5524149400000001E-2</v>
      </c>
    </row>
    <row r="7" spans="1:5" x14ac:dyDescent="0.3">
      <c r="A7" s="1" t="s">
        <v>1055</v>
      </c>
      <c r="B7" s="1" t="s">
        <v>994</v>
      </c>
      <c r="C7" s="1" t="s">
        <v>995</v>
      </c>
      <c r="D7" s="1" t="s">
        <v>996</v>
      </c>
      <c r="E7" s="105" t="s">
        <v>997</v>
      </c>
    </row>
    <row r="8" spans="1:5" x14ac:dyDescent="0.3">
      <c r="A8" s="1" t="s">
        <v>993</v>
      </c>
      <c r="B8" s="104">
        <v>10.96</v>
      </c>
      <c r="C8" s="104">
        <v>0.44</v>
      </c>
      <c r="D8" s="104">
        <v>0.09</v>
      </c>
      <c r="E8" s="5">
        <f>(B8*kg_to_MT)+(C8*g_to_MT*CH4_GWP)+(D8*g_to_MT*N2O_GWP)</f>
        <v>1.0996170000000001E-2</v>
      </c>
    </row>
    <row r="9" spans="1:5" x14ac:dyDescent="0.3">
      <c r="A9" t="s">
        <v>67</v>
      </c>
      <c r="B9" s="2" t="s">
        <v>1056</v>
      </c>
      <c r="C9"/>
      <c r="D9"/>
      <c r="E9" s="5"/>
    </row>
    <row r="10" spans="1:5" x14ac:dyDescent="0.3">
      <c r="E10" s="136"/>
    </row>
    <row r="11" spans="1:5" s="138" customFormat="1" ht="18" x14ac:dyDescent="0.35">
      <c r="A11" s="117" t="s">
        <v>1054</v>
      </c>
      <c r="B11" s="117" t="s">
        <v>94</v>
      </c>
      <c r="C11" s="117"/>
      <c r="D11" s="117"/>
      <c r="E11" s="117"/>
    </row>
    <row r="12" spans="1:5" x14ac:dyDescent="0.3">
      <c r="A12" s="248" t="s">
        <v>1359</v>
      </c>
      <c r="B12" s="300"/>
      <c r="C12" s="248"/>
      <c r="D12" s="133" t="s">
        <v>67</v>
      </c>
      <c r="E12" s="139" t="s">
        <v>96</v>
      </c>
    </row>
    <row r="13" spans="1:5" x14ac:dyDescent="0.3">
      <c r="A13" s="264" t="s">
        <v>95</v>
      </c>
      <c r="B13" s="301">
        <v>4.4999999999999998E-2</v>
      </c>
      <c r="C13" s="250"/>
      <c r="D13" s="133" t="s">
        <v>67</v>
      </c>
      <c r="E13" s="139" t="s">
        <v>98</v>
      </c>
    </row>
    <row r="14" spans="1:5" x14ac:dyDescent="0.3">
      <c r="A14" s="1" t="s">
        <v>97</v>
      </c>
      <c r="B14" s="295">
        <v>3.0000000000000001E-3</v>
      </c>
      <c r="C14" s="4"/>
    </row>
    <row r="15" spans="1:5" x14ac:dyDescent="0.3">
      <c r="A15" s="228" t="s">
        <v>99</v>
      </c>
      <c r="B15" s="296">
        <v>0.8</v>
      </c>
      <c r="C15" s="228" t="s">
        <v>100</v>
      </c>
    </row>
    <row r="16" spans="1:5" x14ac:dyDescent="0.3">
      <c r="A16" s="4" t="s">
        <v>99</v>
      </c>
      <c r="B16" s="38">
        <f>B15*kg_to_MT/m3_to_CCF</f>
        <v>2.2662889518413601E-3</v>
      </c>
      <c r="C16" s="4" t="s">
        <v>101</v>
      </c>
    </row>
    <row r="17" spans="1:5" x14ac:dyDescent="0.3">
      <c r="A17" s="228" t="s">
        <v>102</v>
      </c>
      <c r="B17" s="294">
        <v>0.01</v>
      </c>
      <c r="C17" s="228"/>
    </row>
    <row r="18" spans="1:5" x14ac:dyDescent="0.3">
      <c r="A18" s="4" t="s">
        <v>103</v>
      </c>
      <c r="B18" s="295">
        <v>0.93400000000000005</v>
      </c>
      <c r="C18" s="4"/>
    </row>
    <row r="19" spans="1:5" x14ac:dyDescent="0.3">
      <c r="A19" s="293" t="s">
        <v>104</v>
      </c>
      <c r="B19" s="297">
        <f>B16*B17+(B16*B18*CH4_GWP)</f>
        <v>5.929065155807367E-2</v>
      </c>
      <c r="C19" s="228" t="s">
        <v>92</v>
      </c>
    </row>
    <row r="20" spans="1:5" x14ac:dyDescent="0.3">
      <c r="A20" s="4" t="s">
        <v>105</v>
      </c>
      <c r="B20" s="38">
        <f>Fug_Methane_Total*B19</f>
        <v>2.668079320113315E-3</v>
      </c>
      <c r="C20" s="4" t="s">
        <v>92</v>
      </c>
    </row>
    <row r="21" spans="1:5" x14ac:dyDescent="0.3">
      <c r="A21" s="230" t="s">
        <v>106</v>
      </c>
      <c r="B21" s="298">
        <f>Fug_Methane_Local*B19</f>
        <v>1.7787195467422102E-4</v>
      </c>
      <c r="C21" s="230" t="s">
        <v>92</v>
      </c>
    </row>
    <row r="22" spans="1:5" x14ac:dyDescent="0.3">
      <c r="A22" s="302"/>
      <c r="B22" s="303"/>
      <c r="C22" s="302"/>
    </row>
    <row r="23" spans="1:5" x14ac:dyDescent="0.3">
      <c r="A23" s="1" t="s">
        <v>1358</v>
      </c>
      <c r="B23"/>
      <c r="C23"/>
      <c r="D23" s="133" t="s">
        <v>67</v>
      </c>
      <c r="E23" s="133" t="s">
        <v>109</v>
      </c>
    </row>
    <row r="24" spans="1:5" x14ac:dyDescent="0.3">
      <c r="A24" t="s">
        <v>1360</v>
      </c>
      <c r="B24">
        <f>445/1000</f>
        <v>0.44500000000000001</v>
      </c>
      <c r="C24" t="s">
        <v>100</v>
      </c>
    </row>
    <row r="25" spans="1:5" x14ac:dyDescent="0.3">
      <c r="A25"/>
      <c r="B25">
        <f>B24*(kg_to_MT/m3_to_CCF)</f>
        <v>1.2606232294617564E-3</v>
      </c>
      <c r="C25" t="s">
        <v>92</v>
      </c>
    </row>
    <row r="26" spans="1:5" x14ac:dyDescent="0.3">
      <c r="A26" t="s">
        <v>107</v>
      </c>
      <c r="B26">
        <f>307/1000</f>
        <v>0.307</v>
      </c>
      <c r="C26" t="s">
        <v>108</v>
      </c>
    </row>
    <row r="27" spans="1:5" x14ac:dyDescent="0.3">
      <c r="A27"/>
      <c r="B27">
        <f>B26*(kg_to_MT/L_to_CCF)</f>
        <v>0.86968838526912184</v>
      </c>
      <c r="C27" t="s">
        <v>92</v>
      </c>
    </row>
    <row r="28" spans="1:5" x14ac:dyDescent="0.3">
      <c r="A28" t="s">
        <v>1357</v>
      </c>
      <c r="B28">
        <f>535/1000</f>
        <v>0.53500000000000003</v>
      </c>
      <c r="C28" t="s">
        <v>108</v>
      </c>
    </row>
    <row r="29" spans="1:5" x14ac:dyDescent="0.3">
      <c r="B29" s="133">
        <f>B28*(kg_to_MT/L_to_gal)</f>
        <v>2.0265151515151516E-3</v>
      </c>
      <c r="C29" s="133" t="s">
        <v>997</v>
      </c>
    </row>
  </sheetData>
  <hyperlinks>
    <hyperlink ref="E12" r:id="rId1" xr:uid="{00000000-0004-0000-0200-000000000000}"/>
    <hyperlink ref="B9" r:id="rId2" xr:uid="{4FEF0667-10D4-4CE2-891E-13454D4A7229}"/>
    <hyperlink ref="E13" r:id="rId3" xr:uid="{8DA09215-DFB3-4FD6-9830-28B634256C2F}"/>
  </hyperlinks>
  <pageMargins left="0.7" right="0.7" top="0.75" bottom="0.75" header="0.3" footer="0.3"/>
  <pageSetup orientation="portrait" horizontalDpi="300" verticalDpi="300" r:id="rId4"/>
  <tableParts count="2">
    <tablePart r:id="rId5"/>
    <tablePart r:id="rId6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6">
    <tabColor theme="4" tint="0.39997558519241921"/>
  </sheetPr>
  <dimension ref="A1:D42"/>
  <sheetViews>
    <sheetView tabSelected="1" topLeftCell="A7" workbookViewId="0">
      <selection activeCell="B21" sqref="B21"/>
    </sheetView>
  </sheetViews>
  <sheetFormatPr defaultRowHeight="14.4" x14ac:dyDescent="0.3"/>
  <cols>
    <col min="1" max="1" width="12.33203125" style="133" bestFit="1" customWidth="1"/>
    <col min="2" max="2" width="18.109375" style="133" customWidth="1"/>
    <col min="3" max="3" width="14.109375" style="133" customWidth="1"/>
    <col min="4" max="4" width="16.88671875" style="133" customWidth="1"/>
    <col min="5" max="5" width="12.33203125" style="133" bestFit="1" customWidth="1"/>
    <col min="6" max="16384" width="8.88671875" style="133"/>
  </cols>
  <sheetData>
    <row r="1" spans="1:4" ht="25.8" x14ac:dyDescent="0.5">
      <c r="A1" s="118" t="s">
        <v>110</v>
      </c>
      <c r="B1" s="118"/>
      <c r="C1" s="118"/>
      <c r="D1" s="118"/>
    </row>
    <row r="3" spans="1:4" s="134" customFormat="1" ht="45.6" customHeight="1" x14ac:dyDescent="0.3">
      <c r="A3" s="306"/>
      <c r="B3" s="315"/>
      <c r="C3" s="315"/>
      <c r="D3" s="315"/>
    </row>
    <row r="5" spans="1:4" x14ac:dyDescent="0.3">
      <c r="A5" s="131" t="s">
        <v>111</v>
      </c>
      <c r="B5" s="129">
        <v>2019</v>
      </c>
    </row>
    <row r="7" spans="1:4" ht="18.600000000000001" thickBot="1" x14ac:dyDescent="0.4">
      <c r="A7" s="117" t="s">
        <v>1075</v>
      </c>
      <c r="B7" s="117" t="s">
        <v>112</v>
      </c>
      <c r="C7" s="117"/>
      <c r="D7" s="117"/>
    </row>
    <row r="8" spans="1:4" ht="72" x14ac:dyDescent="0.3">
      <c r="A8" s="132" t="s">
        <v>113</v>
      </c>
      <c r="B8" s="45" t="s">
        <v>114</v>
      </c>
      <c r="C8" s="46" t="s">
        <v>115</v>
      </c>
      <c r="D8" s="47" t="s">
        <v>116</v>
      </c>
    </row>
    <row r="9" spans="1:4" x14ac:dyDescent="0.3">
      <c r="A9" s="129" t="s">
        <v>117</v>
      </c>
      <c r="B9" s="48" t="s">
        <v>118</v>
      </c>
      <c r="C9" s="231">
        <v>0.58560000000000001</v>
      </c>
      <c r="D9" s="231">
        <v>0.41805999999999999</v>
      </c>
    </row>
    <row r="10" spans="1:4" x14ac:dyDescent="0.3">
      <c r="A10"/>
      <c r="B10" s="48" t="s">
        <v>119</v>
      </c>
      <c r="C10" s="231">
        <v>0.23719999999999999</v>
      </c>
      <c r="D10" s="231">
        <v>0.26612999999999998</v>
      </c>
    </row>
    <row r="11" spans="1:4" x14ac:dyDescent="0.3">
      <c r="A11" s="129" t="s">
        <v>117</v>
      </c>
      <c r="B11" s="48" t="s">
        <v>120</v>
      </c>
      <c r="C11" s="231">
        <v>8.7400000000000005E-2</v>
      </c>
      <c r="D11" s="231">
        <v>0.23610999999999999</v>
      </c>
    </row>
    <row r="12" spans="1:4" x14ac:dyDescent="0.3">
      <c r="A12" s="129" t="s">
        <v>117</v>
      </c>
      <c r="B12" s="48" t="s">
        <v>121</v>
      </c>
      <c r="C12" s="231">
        <v>1.8E-3</v>
      </c>
      <c r="D12" s="231">
        <v>4.0699999999999998E-3</v>
      </c>
    </row>
    <row r="13" spans="1:4" x14ac:dyDescent="0.3">
      <c r="A13"/>
      <c r="B13" s="48" t="s">
        <v>122</v>
      </c>
      <c r="C13" s="231">
        <v>1.4E-3</v>
      </c>
      <c r="D13" s="231">
        <v>7.6E-3</v>
      </c>
    </row>
    <row r="14" spans="1:4" x14ac:dyDescent="0.3">
      <c r="A14"/>
      <c r="B14" s="48" t="s">
        <v>123</v>
      </c>
      <c r="C14" s="231">
        <v>8.6699999999999999E-2</v>
      </c>
      <c r="D14" s="231">
        <v>6.8029999999999993E-2</v>
      </c>
    </row>
    <row r="15" spans="1:4" x14ac:dyDescent="0.3">
      <c r="A15"/>
      <c r="B15" s="48" t="s">
        <v>124</v>
      </c>
      <c r="C15" s="231">
        <v>1E-3</v>
      </c>
      <c r="D15" s="231">
        <v>7.92E-3</v>
      </c>
    </row>
    <row r="16" spans="1:4" x14ac:dyDescent="0.3">
      <c r="A16"/>
      <c r="B16" s="48" t="s">
        <v>125</v>
      </c>
      <c r="C16" s="231">
        <v>9.7000000000000003E-3</v>
      </c>
      <c r="D16" s="231">
        <v>4.7000000000000002E-3</v>
      </c>
    </row>
    <row r="17" spans="1:4" x14ac:dyDescent="0.3">
      <c r="A17"/>
      <c r="B17" s="48" t="s">
        <v>127</v>
      </c>
      <c r="C17" s="231">
        <v>1.8E-3</v>
      </c>
      <c r="D17" s="231">
        <v>1.4E-3</v>
      </c>
    </row>
    <row r="18" spans="1:4" x14ac:dyDescent="0.3">
      <c r="A18"/>
      <c r="B18" s="48" t="s">
        <v>128</v>
      </c>
      <c r="C18" s="231">
        <v>7.3200000000000001E-2</v>
      </c>
      <c r="D18" s="231">
        <v>4.9489999999999999E-2</v>
      </c>
    </row>
    <row r="19" spans="1:4" x14ac:dyDescent="0.3">
      <c r="A19"/>
      <c r="B19" s="48" t="s">
        <v>129</v>
      </c>
      <c r="C19" s="231">
        <v>5.0000000000000001E-4</v>
      </c>
      <c r="D19" s="231">
        <v>4.4339999999999997E-2</v>
      </c>
    </row>
    <row r="20" spans="1:4" ht="15" thickBot="1" x14ac:dyDescent="0.35">
      <c r="A20"/>
      <c r="B20" s="49" t="s">
        <v>126</v>
      </c>
      <c r="C20" s="231">
        <v>5.0000000000000001E-4</v>
      </c>
      <c r="D20" s="231">
        <v>1.9000000000000001E-4</v>
      </c>
    </row>
    <row r="21" spans="1:4" x14ac:dyDescent="0.3">
      <c r="B21" s="146"/>
      <c r="C21" s="146"/>
      <c r="D21" s="146"/>
    </row>
    <row r="22" spans="1:4" ht="18.600000000000001" thickBot="1" x14ac:dyDescent="0.4">
      <c r="A22" s="117" t="s">
        <v>1074</v>
      </c>
      <c r="B22" s="117" t="s">
        <v>130</v>
      </c>
      <c r="C22" s="117"/>
      <c r="D22" s="117"/>
    </row>
    <row r="23" spans="1:4" ht="72" x14ac:dyDescent="0.3">
      <c r="A23" s="132" t="s">
        <v>131</v>
      </c>
      <c r="B23" s="45" t="s">
        <v>132</v>
      </c>
      <c r="C23" s="46" t="s">
        <v>133</v>
      </c>
      <c r="D23" s="47" t="s">
        <v>134</v>
      </c>
    </row>
    <row r="24" spans="1:4" x14ac:dyDescent="0.3">
      <c r="A24"/>
      <c r="B24" s="48" t="s">
        <v>135</v>
      </c>
      <c r="C24" s="129"/>
      <c r="D24" s="129"/>
    </row>
    <row r="25" spans="1:4" x14ac:dyDescent="0.3">
      <c r="A25" s="129" t="s">
        <v>136</v>
      </c>
      <c r="B25" s="48" t="s">
        <v>137</v>
      </c>
      <c r="C25" s="129" t="s">
        <v>986</v>
      </c>
      <c r="D25" s="129" t="s">
        <v>987</v>
      </c>
    </row>
    <row r="26" spans="1:4" x14ac:dyDescent="0.3">
      <c r="A26" s="14"/>
      <c r="B26" s="48" t="s">
        <v>138</v>
      </c>
      <c r="C26" s="129"/>
      <c r="D26" s="129"/>
    </row>
    <row r="27" spans="1:4" x14ac:dyDescent="0.3">
      <c r="A27"/>
      <c r="B27" s="48" t="s">
        <v>139</v>
      </c>
      <c r="C27" s="129"/>
      <c r="D27" s="129"/>
    </row>
    <row r="28" spans="1:4" ht="15" thickBot="1" x14ac:dyDescent="0.35">
      <c r="A28"/>
      <c r="B28" s="49" t="s">
        <v>988</v>
      </c>
      <c r="C28" s="129"/>
      <c r="D28" s="129"/>
    </row>
    <row r="30" spans="1:4" ht="18" x14ac:dyDescent="0.35">
      <c r="A30" s="117" t="s">
        <v>1076</v>
      </c>
      <c r="B30" s="117" t="s">
        <v>140</v>
      </c>
      <c r="C30" s="117"/>
      <c r="D30" s="117"/>
    </row>
    <row r="31" spans="1:4" x14ac:dyDescent="0.3">
      <c r="B31" t="s">
        <v>1055</v>
      </c>
      <c r="C31" t="s">
        <v>141</v>
      </c>
      <c r="D31" t="s">
        <v>142</v>
      </c>
    </row>
    <row r="32" spans="1:4" x14ac:dyDescent="0.3">
      <c r="B32" s="10" t="s">
        <v>143</v>
      </c>
      <c r="C32" s="9">
        <f>SUMIF(A9:A20,"Fossil Fuel",C9:C20)</f>
        <v>0.67480000000000007</v>
      </c>
      <c r="D32" s="9">
        <f>SUMIF(A9:A20,"Fossil Fuel",D9:D20)</f>
        <v>0.65823999999999994</v>
      </c>
    </row>
    <row r="33" spans="1:4" ht="28.8" x14ac:dyDescent="0.3">
      <c r="B33" s="10" t="s">
        <v>144</v>
      </c>
      <c r="C33" s="9">
        <f>VALUE(MID(B28,FIND("%",B28)-5,5))/100</f>
        <v>0.1628</v>
      </c>
      <c r="D33"/>
    </row>
    <row r="35" spans="1:4" ht="18" x14ac:dyDescent="0.35">
      <c r="A35" s="117" t="s">
        <v>1077</v>
      </c>
      <c r="B35" s="117" t="s">
        <v>130</v>
      </c>
      <c r="C35" s="117"/>
      <c r="D35" s="117"/>
    </row>
    <row r="36" spans="1:4" x14ac:dyDescent="0.3">
      <c r="B36" t="s">
        <v>1055</v>
      </c>
      <c r="C36" t="s">
        <v>141</v>
      </c>
      <c r="D36" t="s">
        <v>145</v>
      </c>
    </row>
    <row r="37" spans="1:4" x14ac:dyDescent="0.3">
      <c r="B37"/>
      <c r="C37" t="s">
        <v>146</v>
      </c>
      <c r="D37" t="s">
        <v>146</v>
      </c>
    </row>
    <row r="38" spans="1:4" x14ac:dyDescent="0.3">
      <c r="B38" s="10" t="s">
        <v>136</v>
      </c>
      <c r="C38">
        <f>VALUE(LEFT(VLOOKUP("CO2",A24:D28,3,0),FIND(" ",VLOOKUP("CO2",A24:D28,3,0))))</f>
        <v>2150.5</v>
      </c>
      <c r="D38">
        <f>VALUE(LEFT(VLOOKUP("CO2",A24:D28,4,0),FIND(" ",VLOOKUP("CO2",A24:D28,4,0))))</f>
        <v>1927</v>
      </c>
    </row>
    <row r="39" spans="1:4" ht="28.8" x14ac:dyDescent="0.3">
      <c r="B39" s="10" t="s">
        <v>147</v>
      </c>
      <c r="C39" s="15">
        <f>C38*C32</f>
        <v>1451.1574000000001</v>
      </c>
      <c r="D39" s="15">
        <f>D38*D32</f>
        <v>1268.4284799999998</v>
      </c>
    </row>
    <row r="40" spans="1:4" ht="28.8" x14ac:dyDescent="0.3">
      <c r="B40" s="10" t="s">
        <v>148</v>
      </c>
      <c r="C40" s="11">
        <f>(1-C33)*C39</f>
        <v>1214.90897528</v>
      </c>
      <c r="D40" s="11">
        <f>C33*D39</f>
        <v>206.50015654399996</v>
      </c>
    </row>
    <row r="41" spans="1:4" x14ac:dyDescent="0.3">
      <c r="B41"/>
      <c r="C41"/>
      <c r="D41"/>
    </row>
    <row r="42" spans="1:4" ht="28.8" x14ac:dyDescent="0.3">
      <c r="B42" s="16" t="s">
        <v>149</v>
      </c>
      <c r="C42">
        <f>SUM(C40:D40)*lb_to_MT/M_to_k</f>
        <v>6.4531974584809606E-4</v>
      </c>
      <c r="D42" t="s">
        <v>150</v>
      </c>
    </row>
  </sheetData>
  <mergeCells count="1">
    <mergeCell ref="B3:D3"/>
  </mergeCells>
  <dataValidations count="2">
    <dataValidation type="list" allowBlank="1" showInputMessage="1" showErrorMessage="1" sqref="A24:A28" xr:uid="{00000000-0002-0000-0300-000000000000}">
      <formula1>"CO2"</formula1>
    </dataValidation>
    <dataValidation type="list" allowBlank="1" showInputMessage="1" showErrorMessage="1" sqref="A9:A21" xr:uid="{00000000-0002-0000-0300-000001000000}">
      <formula1>"Fossil Fuel"</formula1>
    </dataValidation>
  </dataValidations>
  <pageMargins left="0.7" right="0.7" top="0.75" bottom="0.75" header="0.3" footer="0.3"/>
  <pageSetup orientation="portrait" horizontalDpi="300" verticalDpi="300" r:id="rId1"/>
  <tableParts count="2">
    <tablePart r:id="rId2"/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3861B428DF06347932E5B5349F91F5B" ma:contentTypeVersion="1" ma:contentTypeDescription="Create a new document." ma:contentTypeScope="" ma:versionID="b5143d0c065df4906b644f600e01bfa5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55d3c2ff1dfae606d6f8168c38786798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4.xml>��< ? x m l   v e r s i o n = " 1 . 0 "   e n c o d i n g = " u t f - 1 6 " ? > < D a t a M a s h u p   x m l n s = " h t t p : / / s c h e m a s . m i c r o s o f t . c o m / D a t a M a s h u p " > A A A A A D U E A A B Q S w M E F A A C A A g A 5 2 I E U c u 9 i V + n A A A A + Q A A A B I A H A B D b 2 5 m a W c v U G F j a 2 F n Z S 5 4 b W w g o h g A K K A U A A A A A A A A A A A A A A A A A A A A A A A A A A A A h Y 8 x D o I w G E a v Q r r T l h K r I T 9 l c J X E h G h c G 6 z Q C M X Q Y r m b g 0 f y C p I o 6 u b 4 v b z h f Y / b H b K x b Y K r 6 q 3 u T I o i T F G g T N k d t a l S N L h T u E K Z g K 0 s z 7 J S w S Q b m 4 z 2 m K L a u U t C i P c e + x h 3 f U U Y p R E 5 5 J u i r F U r 0 U f W / + V Q G + u k K R U S s H / F C I Y 5 x 4 t 4 y X H E G Q M y c 8 i 1 + T p s S s Y U y A + E 9 d C 4 o V d C m X B X A J k n k P c N 8 Q R Q S w M E F A A C A A g A 5 2 I E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O d i B F G 3 A m q 7 L A E A A L M D A A A T A B w A R m 9 y b X V s Y X M v U 2 V j d G l v b j E u b S C i G A A o o B Q A A A A A A A A A A A A A A A A A A A A A A A A A A A D t k U 9 r w k A Q x e 9 C v s O w X h J I A 8 Y / h 5 Y c b N K q U G h B e 2 p K i X H U h W S 2 7 E 7 E I H 7 3 b k g F k d p 7 o X t Z 5 v d g 3 j y e w Z y l I p i 3 f + / O 6 T g d s 8 0 0 r q A r p t K w 0 j K H + G X 2 c f 8 0 F x B B g e x 0 w L 6 5 q n S O l s R m F y Q q r 0 o k d h 9 l g U G s i O 1 g X B H f p q 8 G t U m 5 z j a o C y T U 6 T N h o u U O 4 Q Z i y T W o N Y y J Y K y X S q f 9 A C b T C c x o Z z c o X a f N l G S c f R u a 9 P K q g P c s P P 8 t w U K W k l F H A o Q P s S q q k k w 0 8 u G B c r W S t I l 6 4 T B 8 9 / w 2 Q F f E 2 4 w 2 N u m i / s Q m 2 y J b 2 u s X O i O z V r p s N z S i c V t z / 3 A Q L e 1 Z h x n x a B A 0 + t G H k x B a g S 0 C x j 2 f 8 f 4 V P r j C h y d O V b l E f a a M L p S j 5 3 Q k / Z j p 9 z r B D b 3 / S v 9 a p V 9 Q S w E C L Q A U A A I A C A D n Y g R R y 7 2 J X 6 c A A A D 5 A A A A E g A A A A A A A A A A A A A A A A A A A A A A Q 2 9 u Z m l n L 1 B h Y 2 t h Z 2 U u e G 1 s U E s B A i 0 A F A A C A A g A 5 2 I E U Q / K 6 a u k A A A A 6 Q A A A B M A A A A A A A A A A A A A A A A A 8 w A A A F t D b 2 5 0 Z W 5 0 X 1 R 5 c G V z X S 5 4 b W x Q S w E C L Q A U A A I A C A D n Y g R R t w J q u y w B A A C z A w A A E w A A A A A A A A A A A A A A A A D k A Q A A R m 9 y b X V s Y X M v U 2 V j d G l v b j E u b V B L B Q Y A A A A A A w A D A M I A A A B d A w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5 R F A A A A A A A A C 8 U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I a X N 0 b 3 J p Y y U y M E N Q S V 9 C T F M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0 O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C 0 w O C 0 w N F Q x N j o x O D o z N C 4 w N D M y M T k z W i I g L z 4 8 R W 5 0 c n k g V H l w Z T 0 i R m l s b E N v b H V t b l R 5 c G V z I i B W Y W x 1 Z T 0 i c 0 F 3 W U d C Z 1 V G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S G l z d G 9 y a W M g Q 1 B J X 0 J M U y 9 D a G F u Z 2 V k I F R 5 c G U u e 0 N v b H V t b j E s M H 0 m c X V v d D s s J n F 1 b 3 Q 7 U 2 V j d G l v b j E v S G l z d G 9 y a W M g Q 1 B J X 0 J M U y 9 D a G F u Z 2 V k I F R 5 c G U u e 0 N v b H V t b j I s M X 0 m c X V v d D s s J n F 1 b 3 Q 7 U 2 V j d G l v b j E v S G l z d G 9 y a W M g Q 1 B J X 0 J M U y 9 D a G F u Z 2 V k I F R 5 c G U u e 0 N v b H V t b j M s M n 0 m c X V v d D s s J n F 1 b 3 Q 7 U 2 V j d G l v b j E v S G l z d G 9 y a W M g Q 1 B J X 0 J M U y 9 D a G F u Z 2 V k I F R 5 c G U u e 0 N v b H V t b j Q s M 3 0 m c X V v d D s s J n F 1 b 3 Q 7 U 2 V j d G l v b j E v S G l z d G 9 y a W M g Q 1 B J X 0 J M U y 9 D a G F u Z 2 V k I F R 5 c G U u e 0 N v b H V t b j U s N H 0 m c X V v d D s s J n F 1 b 3 Q 7 U 2 V j d G l v b j E v S G l z d G 9 y a W M g Q 1 B J X 0 J M U y 9 D a G F u Z 2 V k I F R 5 c G U u e 0 N v b H V t b j Y s N X 0 m c X V v d D t d L C Z x d W 9 0 O 0 N v b H V t b k N v d W 5 0 J n F 1 b 3 Q 7 O j Y s J n F 1 b 3 Q 7 S 2 V 5 Q 2 9 s d W 1 u T m F t Z X M m c X V v d D s 6 W 1 0 s J n F 1 b 3 Q 7 Q 2 9 s d W 1 u S W R l b n R p d G l l c y Z x d W 9 0 O z p b J n F 1 b 3 Q 7 U 2 V j d G l v b j E v S G l z d G 9 y a W M g Q 1 B J X 0 J M U y 9 D a G F u Z 2 V k I F R 5 c G U u e 0 N v b H V t b j E s M H 0 m c X V v d D s s J n F 1 b 3 Q 7 U 2 V j d G l v b j E v S G l z d G 9 y a W M g Q 1 B J X 0 J M U y 9 D a G F u Z 2 V k I F R 5 c G U u e 0 N v b H V t b j I s M X 0 m c X V v d D s s J n F 1 b 3 Q 7 U 2 V j d G l v b j E v S G l z d G 9 y a W M g Q 1 B J X 0 J M U y 9 D a G F u Z 2 V k I F R 5 c G U u e 0 N v b H V t b j M s M n 0 m c X V v d D s s J n F 1 b 3 Q 7 U 2 V j d G l v b j E v S G l z d G 9 y a W M g Q 1 B J X 0 J M U y 9 D a G F u Z 2 V k I F R 5 c G U u e 0 N v b H V t b j Q s M 3 0 m c X V v d D s s J n F 1 b 3 Q 7 U 2 V j d G l v b j E v S G l z d G 9 y a W M g Q 1 B J X 0 J M U y 9 D a G F u Z 2 V k I F R 5 c G U u e 0 N v b H V t b j U s N H 0 m c X V v d D s s J n F 1 b 3 Q 7 U 2 V j d G l v b j E v S G l z d G 9 y a W M g Q 1 B J X 0 J M U y 9 D a G F u Z 2 V k I F R 5 c G U u e 0 N v b H V t b j Y s N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h p c 3 R v c m l j J T I w Q 1 B J X 0 J M U y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I a X N 0 b 3 J p Y y U y M E N Q S V 9 C T F M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I a X N 0 b 3 J p Y y U y M E N Q S V 9 C T F M l M j A o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0 O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C 0 w O C 0 w N F Q x N j o y M T o y N y 4 3 O T I 1 O D U z W i I g L z 4 8 R W 5 0 c n k g V H l w Z T 0 i R m l s b E N v b H V t b l R 5 c G V z I i B W Y W x 1 Z T 0 i c 0 F 3 W U d C Z 1 V G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S G l z d G 9 y a W M g Q 1 B J X 0 J M U y A o M i k v Q 2 h h b m d l Z C B U e X B l L n t D b 2 x 1 b W 4 x L D B 9 J n F 1 b 3 Q 7 L C Z x d W 9 0 O 1 N l Y 3 R p b 2 4 x L 0 h p c 3 R v c m l j I E N Q S V 9 C T F M g K D I p L 0 N o Y W 5 n Z W Q g V H l w Z S 5 7 Q 2 9 s d W 1 u M i w x f S Z x d W 9 0 O y w m c X V v d D t T Z W N 0 a W 9 u M S 9 I a X N 0 b 3 J p Y y B D U E l f Q k x T I C g y K S 9 D a G F u Z 2 V k I F R 5 c G U u e 0 N v b H V t b j M s M n 0 m c X V v d D s s J n F 1 b 3 Q 7 U 2 V j d G l v b j E v S G l z d G 9 y a W M g Q 1 B J X 0 J M U y A o M i k v Q 2 h h b m d l Z C B U e X B l L n t D b 2 x 1 b W 4 0 L D N 9 J n F 1 b 3 Q 7 L C Z x d W 9 0 O 1 N l Y 3 R p b 2 4 x L 0 h p c 3 R v c m l j I E N Q S V 9 C T F M g K D I p L 0 N o Y W 5 n Z W Q g V H l w Z S 5 7 Q 2 9 s d W 1 u N S w 0 f S Z x d W 9 0 O y w m c X V v d D t T Z W N 0 a W 9 u M S 9 I a X N 0 b 3 J p Y y B D U E l f Q k x T I C g y K S 9 D a G F u Z 2 V k I F R 5 c G U u e 0 N v b H V t b j Y s N X 0 m c X V v d D t d L C Z x d W 9 0 O 0 N v b H V t b k N v d W 5 0 J n F 1 b 3 Q 7 O j Y s J n F 1 b 3 Q 7 S 2 V 5 Q 2 9 s d W 1 u T m F t Z X M m c X V v d D s 6 W 1 0 s J n F 1 b 3 Q 7 Q 2 9 s d W 1 u S W R l b n R p d G l l c y Z x d W 9 0 O z p b J n F 1 b 3 Q 7 U 2 V j d G l v b j E v S G l z d G 9 y a W M g Q 1 B J X 0 J M U y A o M i k v Q 2 h h b m d l Z C B U e X B l L n t D b 2 x 1 b W 4 x L D B 9 J n F 1 b 3 Q 7 L C Z x d W 9 0 O 1 N l Y 3 R p b 2 4 x L 0 h p c 3 R v c m l j I E N Q S V 9 C T F M g K D I p L 0 N o Y W 5 n Z W Q g V H l w Z S 5 7 Q 2 9 s d W 1 u M i w x f S Z x d W 9 0 O y w m c X V v d D t T Z W N 0 a W 9 u M S 9 I a X N 0 b 3 J p Y y B D U E l f Q k x T I C g y K S 9 D a G F u Z 2 V k I F R 5 c G U u e 0 N v b H V t b j M s M n 0 m c X V v d D s s J n F 1 b 3 Q 7 U 2 V j d G l v b j E v S G l z d G 9 y a W M g Q 1 B J X 0 J M U y A o M i k v Q 2 h h b m d l Z C B U e X B l L n t D b 2 x 1 b W 4 0 L D N 9 J n F 1 b 3 Q 7 L C Z x d W 9 0 O 1 N l Y 3 R p b 2 4 x L 0 h p c 3 R v c m l j I E N Q S V 9 C T F M g K D I p L 0 N o Y W 5 n Z W Q g V H l w Z S 5 7 Q 2 9 s d W 1 u N S w 0 f S Z x d W 9 0 O y w m c X V v d D t T Z W N 0 a W 9 u M S 9 I a X N 0 b 3 J p Y y B D U E l f Q k x T I C g y K S 9 D a G F u Z 2 V k I F R 5 c G U u e 0 N v b H V t b j Y s N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h p c 3 R v c m l j J T I w Q 1 B J X 0 J M U y U y M C g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I a X N 0 b 3 J p Y y U y M E N Q S V 9 C T F M l M j A o M i k v Q 2 h h b m d l Z C U y M F R 5 c G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L u c 4 P 8 O X 2 k a N Y 2 5 P D K t L q A A A A A A C A A A A A A A D Z g A A w A A A A B A A A A B i x N F z 7 2 G g Z V 6 G n O l j 2 L E f A A A A A A S A A A C g A A A A E A A A A A e c s 4 n h n M S / J r H I 6 O I b k C 9 Q A A A A C b V e E Z s O 0 J I + + I E W A r F r P 1 r 5 Q X E H g A G T 2 b I r O X 4 D d J J E N / c P a 6 I x A e W x b 0 d S V C E j o 2 U Y N t 1 r c q 8 0 z 2 d W 0 6 z 2 N E s O I N 8 b w A B C 8 i 2 O q J Q O m m s U A A A A V B 8 l r 4 7 i f N r d z j h i x Y q I y h w / p b g = < / D a t a M a s h u p > 
</file>

<file path=customXml/itemProps1.xml><?xml version="1.0" encoding="utf-8"?>
<ds:datastoreItem xmlns:ds="http://schemas.openxmlformats.org/officeDocument/2006/customXml" ds:itemID="{4B393AD6-D0B3-4495-A63C-DE2F26980FD3}"/>
</file>

<file path=customXml/itemProps2.xml><?xml version="1.0" encoding="utf-8"?>
<ds:datastoreItem xmlns:ds="http://schemas.openxmlformats.org/officeDocument/2006/customXml" ds:itemID="{D2339C0B-1822-4D5A-A963-24FF1AA304E4}"/>
</file>

<file path=customXml/itemProps3.xml><?xml version="1.0" encoding="utf-8"?>
<ds:datastoreItem xmlns:ds="http://schemas.openxmlformats.org/officeDocument/2006/customXml" ds:itemID="{8C778929-AD1B-488A-89F4-86AD6A3101F1}"/>
</file>

<file path=customXml/itemProps4.xml><?xml version="1.0" encoding="utf-8"?>
<ds:datastoreItem xmlns:ds="http://schemas.openxmlformats.org/officeDocument/2006/customXml" ds:itemID="{FC57FD72-DF19-4AF6-A4E0-001CB60B84E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22</vt:i4>
      </vt:variant>
      <vt:variant>
        <vt:lpstr>Named Ranges</vt:lpstr>
      </vt:variant>
      <vt:variant>
        <vt:i4>65</vt:i4>
      </vt:variant>
    </vt:vector>
  </HeadingPairs>
  <TitlesOfParts>
    <vt:vector size="87" baseType="lpstr">
      <vt:lpstr>Intro and Guide</vt:lpstr>
      <vt:lpstr>Emissions Summary</vt:lpstr>
      <vt:lpstr>Detailed Emissions Summary</vt:lpstr>
      <vt:lpstr>Tracking Metrics</vt:lpstr>
      <vt:lpstr>Data Sources</vt:lpstr>
      <vt:lpstr>A Community Indicators Data</vt:lpstr>
      <vt:lpstr>B Climate Data</vt:lpstr>
      <vt:lpstr>C Stationary Fuel Factor Set</vt:lpstr>
      <vt:lpstr>D Grid Energy Factor Set</vt:lpstr>
      <vt:lpstr>E Transportation Factor Set</vt:lpstr>
      <vt:lpstr>F Solid Waste Factor Set</vt:lpstr>
      <vt:lpstr>G Wastewater Factor Set</vt:lpstr>
      <vt:lpstr>H Built Environment Data</vt:lpstr>
      <vt:lpstr>I Transportation Data</vt:lpstr>
      <vt:lpstr>J Commuting Data</vt:lpstr>
      <vt:lpstr>K Solid Waste Data</vt:lpstr>
      <vt:lpstr>L Water and Wastewater Data</vt:lpstr>
      <vt:lpstr>Built Environment Emissions</vt:lpstr>
      <vt:lpstr>Transportation Emissions</vt:lpstr>
      <vt:lpstr>Solid Waste Emissions</vt:lpstr>
      <vt:lpstr>Wastewater Emissions</vt:lpstr>
      <vt:lpstr>Conversion Factors</vt:lpstr>
      <vt:lpstr>A2_TotalNLoad</vt:lpstr>
      <vt:lpstr>AvGas_EF</vt:lpstr>
      <vt:lpstr>bbl_to_CCF</vt:lpstr>
      <vt:lpstr>Biodiesel_EF</vt:lpstr>
      <vt:lpstr>BOD5_Rate</vt:lpstr>
      <vt:lpstr>Bus_CH4_EF</vt:lpstr>
      <vt:lpstr>Bus_N2O_EF</vt:lpstr>
      <vt:lpstr>CCF_to_Ft3</vt:lpstr>
      <vt:lpstr>CCF_to_gal</vt:lpstr>
      <vt:lpstr>CCF_to_m3</vt:lpstr>
      <vt:lpstr>CE_Factpr</vt:lpstr>
      <vt:lpstr>CH4_GWP</vt:lpstr>
      <vt:lpstr>Compost_CH4EF</vt:lpstr>
      <vt:lpstr>Compost_N2OEF</vt:lpstr>
      <vt:lpstr>Days_per_Year</vt:lpstr>
      <vt:lpstr>Diesel_EF</vt:lpstr>
      <vt:lpstr>Ethanol_EF</vt:lpstr>
      <vt:lpstr>Findcom</vt:lpstr>
      <vt:lpstr>FPlant_NitDenit</vt:lpstr>
      <vt:lpstr>ft3_to_CCF</vt:lpstr>
      <vt:lpstr>ft3_to_gal</vt:lpstr>
      <vt:lpstr>ft3_to_m3</vt:lpstr>
      <vt:lpstr>FuelOil_EF</vt:lpstr>
      <vt:lpstr>Fug_Methane_EF</vt:lpstr>
      <vt:lpstr>Fug_Methane_Local</vt:lpstr>
      <vt:lpstr>Fug_Methane_Total</vt:lpstr>
      <vt:lpstr>g_to_kg</vt:lpstr>
      <vt:lpstr>g_to_MT</vt:lpstr>
      <vt:lpstr>Gasoline_EF</vt:lpstr>
      <vt:lpstr>Grid_EF</vt:lpstr>
      <vt:lpstr>Grid_LossFactor</vt:lpstr>
      <vt:lpstr>JetFuel_EF</vt:lpstr>
      <vt:lpstr>k_to_M</vt:lpstr>
      <vt:lpstr>kg_to_MT</vt:lpstr>
      <vt:lpstr>kWh_to_mmBtu</vt:lpstr>
      <vt:lpstr>L_to_CCF</vt:lpstr>
      <vt:lpstr>L_to_gal</vt:lpstr>
      <vt:lpstr>LandfillEFP_CNG</vt:lpstr>
      <vt:lpstr>LandfillEFP_Diesel</vt:lpstr>
      <vt:lpstr>lb_to_kg</vt:lpstr>
      <vt:lpstr>lb_to_MT</vt:lpstr>
      <vt:lpstr>M_to_k</vt:lpstr>
      <vt:lpstr>m3_to_CCF</vt:lpstr>
      <vt:lpstr>m3_to_ft3</vt:lpstr>
      <vt:lpstr>m3_to_gal</vt:lpstr>
      <vt:lpstr>MT_to_kg</vt:lpstr>
      <vt:lpstr>N_Uptake</vt:lpstr>
      <vt:lpstr>N2O_GWP</vt:lpstr>
      <vt:lpstr>N2O_N_MWRatio</vt:lpstr>
      <vt:lpstr>NG_CCF_to_mmBtu</vt:lpstr>
      <vt:lpstr>NG_CCF_to_Therm</vt:lpstr>
      <vt:lpstr>NG_EF</vt:lpstr>
      <vt:lpstr>Pi_x_EFi</vt:lpstr>
      <vt:lpstr>Propane_CCF_to_mmBtu</vt:lpstr>
      <vt:lpstr>Propane_EF</vt:lpstr>
      <vt:lpstr>ReportingYear</vt:lpstr>
      <vt:lpstr>s_to_C</vt:lpstr>
      <vt:lpstr>ton_to_kg</vt:lpstr>
      <vt:lpstr>ton_to_MT</vt:lpstr>
      <vt:lpstr>TotalNLoad</vt:lpstr>
      <vt:lpstr>Upstream_FuelOil_EF</vt:lpstr>
      <vt:lpstr>Upstream_NG_EF</vt:lpstr>
      <vt:lpstr>Upstream_Propane_EF</vt:lpstr>
      <vt:lpstr>WWTP_EF_Fugitive</vt:lpstr>
      <vt:lpstr>WWTP_EF_nitdenit</vt:lpstr>
    </vt:vector>
  </TitlesOfParts>
  <Manager/>
  <Company>City of Ann Arbor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Yagerlener, Thea</dc:creator>
  <cp:keywords/>
  <dc:description/>
  <cp:lastModifiedBy>Thea Yagerlener</cp:lastModifiedBy>
  <cp:revision/>
  <dcterms:created xsi:type="dcterms:W3CDTF">2020-06-25T18:12:57Z</dcterms:created>
  <dcterms:modified xsi:type="dcterms:W3CDTF">2020-12-14T14:59:42Z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0x010100E3861B428DF06347932E5B5349F91F5B</vt:lpwstr>
  </property>
</Properties>
</file>